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C:\Users\mthornton4\Downloads\"/>
    </mc:Choice>
  </mc:AlternateContent>
  <xr:revisionPtr revIDLastSave="0" documentId="13_ncr:1_{D73A721A-1EF8-4E19-918E-B5F4AC58A6B9}" xr6:coauthVersionLast="47" xr6:coauthVersionMax="47" xr10:uidLastSave="{00000000-0000-0000-0000-000000000000}"/>
  <bookViews>
    <workbookView xWindow="-120" yWindow="-120" windowWidth="29040" windowHeight="15840" xr2:uid="{00000000-000D-0000-FFFF-FFFF00000000}"/>
  </bookViews>
  <sheets>
    <sheet name="Summary Calculations" sheetId="13" r:id="rId1"/>
    <sheet name="Water Balance" sheetId="11" r:id="rId2"/>
    <sheet name="Nutrient Balance" sheetId="12" r:id="rId3"/>
    <sheet name="Sheet2" sheetId="14" r:id="rId4"/>
  </sheets>
  <definedNames>
    <definedName name="cleardays" localSheetId="1">'Water Balance'!#REF!</definedName>
    <definedName name="cloudydays" localSheetId="1">'Water Balance'!#REF!</definedName>
    <definedName name="daysofrain" localSheetId="1">'Water Balance'!#REF!</definedName>
    <definedName name="_xlnm.Print_Area" localSheetId="2">'Nutrient Balance'!$A$1:$K$37</definedName>
    <definedName name="_xlnm.Print_Area" localSheetId="1">'Water Balance'!$A$1:$Q$37</definedName>
    <definedName name="Soilddown">SoilType[LHI Soils]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11" l="1"/>
  <c r="P6" i="11" s="1"/>
  <c r="I16" i="13"/>
  <c r="G11" i="12" s="1"/>
  <c r="H16" i="13"/>
  <c r="G12" i="12" s="1"/>
  <c r="C14" i="12"/>
  <c r="C13" i="12"/>
  <c r="C9" i="12"/>
  <c r="G30" i="13"/>
  <c r="G9" i="12" s="1"/>
  <c r="F30" i="13"/>
  <c r="G8" i="12" s="1"/>
  <c r="T18" i="12" a="1"/>
  <c r="T18" i="12" s="1"/>
  <c r="G16" i="13"/>
  <c r="C9" i="11" s="1"/>
  <c r="F16" i="13"/>
  <c r="C6" i="11" s="1"/>
  <c r="AA9" i="11" a="1"/>
  <c r="AA9" i="11" s="1"/>
  <c r="A1" i="14"/>
  <c r="A3" i="14" s="1"/>
  <c r="E8" i="13" s="1"/>
  <c r="P7" i="11" l="1"/>
  <c r="E5" i="13" s="1"/>
  <c r="P17" i="11"/>
  <c r="P21" i="11" s="1"/>
  <c r="O17" i="11"/>
  <c r="O21" i="11" s="1"/>
  <c r="N17" i="11"/>
  <c r="N21" i="11" s="1"/>
  <c r="M17" i="11"/>
  <c r="M21" i="11" s="1"/>
  <c r="L17" i="11"/>
  <c r="L21" i="11" s="1"/>
  <c r="K17" i="11"/>
  <c r="K21" i="11" s="1"/>
  <c r="J17" i="11"/>
  <c r="J21" i="11" s="1"/>
  <c r="I17" i="11"/>
  <c r="I21" i="11" s="1"/>
  <c r="H17" i="11"/>
  <c r="H21" i="11" s="1"/>
  <c r="G17" i="11"/>
  <c r="F17" i="11"/>
  <c r="F21" i="11" s="1"/>
  <c r="E17" i="11"/>
  <c r="E21" i="11" s="1"/>
  <c r="Q16" i="11"/>
  <c r="G21" i="11"/>
  <c r="J9" i="12"/>
  <c r="I28" i="12" s="1"/>
  <c r="J8" i="12"/>
  <c r="B29" i="12"/>
  <c r="J11" i="12" s="1"/>
  <c r="E22" i="11"/>
  <c r="Q15" i="11"/>
  <c r="E25" i="11"/>
  <c r="F25" i="11"/>
  <c r="G25" i="11"/>
  <c r="H25" i="11"/>
  <c r="I25" i="11"/>
  <c r="J25" i="11"/>
  <c r="K25" i="11"/>
  <c r="L25" i="11"/>
  <c r="M25" i="11"/>
  <c r="M22" i="11"/>
  <c r="N25" i="11"/>
  <c r="O25" i="11"/>
  <c r="P25" i="11"/>
  <c r="P22" i="11"/>
  <c r="O22" i="11"/>
  <c r="J22" i="11"/>
  <c r="H22" i="11"/>
  <c r="I22" i="11"/>
  <c r="F22" i="11"/>
  <c r="N22" i="11"/>
  <c r="G22" i="11"/>
  <c r="K22" i="11"/>
  <c r="L22" i="11"/>
  <c r="E12" i="13" l="1"/>
  <c r="C5" i="11" s="1"/>
  <c r="I34" i="11" s="1"/>
  <c r="B30" i="12"/>
  <c r="I30" i="12" s="1"/>
  <c r="Q25" i="11"/>
  <c r="L23" i="11"/>
  <c r="P23" i="11"/>
  <c r="M23" i="11"/>
  <c r="G23" i="11"/>
  <c r="O23" i="11"/>
  <c r="Q17" i="11"/>
  <c r="Q21" i="11"/>
  <c r="E23" i="11"/>
  <c r="K23" i="11"/>
  <c r="F23" i="11"/>
  <c r="J23" i="11"/>
  <c r="Q22" i="11"/>
  <c r="I23" i="11"/>
  <c r="N23" i="11"/>
  <c r="H23" i="11"/>
  <c r="C8" i="12" l="1"/>
  <c r="H34" i="11"/>
  <c r="L34" i="11"/>
  <c r="P34" i="11"/>
  <c r="O34" i="11"/>
  <c r="N34" i="11"/>
  <c r="F34" i="11"/>
  <c r="E34" i="11"/>
  <c r="J34" i="11"/>
  <c r="K34" i="11"/>
  <c r="M34" i="11"/>
  <c r="G34" i="11"/>
  <c r="Q23" i="11"/>
  <c r="H18" i="12" l="1"/>
  <c r="E19" i="13"/>
  <c r="E33" i="13" s="1"/>
  <c r="C11" i="12"/>
  <c r="C12" i="12" s="1"/>
  <c r="B18" i="12" s="1"/>
  <c r="E34" i="13" s="1"/>
  <c r="B27" i="12"/>
  <c r="L26" i="11"/>
  <c r="L27" i="11" s="1"/>
  <c r="L30" i="11" s="1"/>
  <c r="N26" i="11"/>
  <c r="N27" i="11" s="1"/>
  <c r="N30" i="11" s="1"/>
  <c r="O26" i="11"/>
  <c r="O27" i="11" s="1"/>
  <c r="O30" i="11" s="1"/>
  <c r="F26" i="11"/>
  <c r="F27" i="11" s="1"/>
  <c r="F30" i="11" s="1"/>
  <c r="P26" i="11"/>
  <c r="P27" i="11" s="1"/>
  <c r="P30" i="11" s="1"/>
  <c r="G26" i="11"/>
  <c r="G27" i="11" s="1"/>
  <c r="G30" i="11" s="1"/>
  <c r="I26" i="11"/>
  <c r="I27" i="11" s="1"/>
  <c r="I30" i="11" s="1"/>
  <c r="M26" i="11"/>
  <c r="M27" i="11" s="1"/>
  <c r="M30" i="11" s="1"/>
  <c r="H26" i="11"/>
  <c r="H27" i="11" s="1"/>
  <c r="H30" i="11" s="1"/>
  <c r="J26" i="11"/>
  <c r="J27" i="11" s="1"/>
  <c r="J30" i="11" s="1"/>
  <c r="K26" i="11"/>
  <c r="K27" i="11" s="1"/>
  <c r="K30" i="11" s="1"/>
  <c r="E26" i="11"/>
  <c r="E27" i="11" s="1"/>
  <c r="E30" i="11" s="1"/>
  <c r="E31" i="11" s="1"/>
  <c r="I27" i="12" l="1"/>
  <c r="H20" i="12" s="1"/>
  <c r="B26" i="12"/>
  <c r="B31" i="12" s="1"/>
  <c r="H19" i="12"/>
  <c r="F29" i="11"/>
  <c r="F31" i="11" s="1"/>
  <c r="G29" i="11" s="1"/>
  <c r="G31" i="11" s="1"/>
  <c r="H29" i="11" s="1"/>
  <c r="H31" i="11" s="1"/>
  <c r="I29" i="11" s="1"/>
  <c r="I31" i="11" s="1"/>
  <c r="J29" i="11" s="1"/>
  <c r="J31" i="11" s="1"/>
  <c r="K29" i="11" s="1"/>
  <c r="K31" i="11" s="1"/>
  <c r="L29" i="11" s="1"/>
  <c r="L31" i="11" s="1"/>
  <c r="M29" i="11" s="1"/>
  <c r="M31" i="11" s="1"/>
  <c r="N29" i="11" s="1"/>
  <c r="N31" i="11" s="1"/>
  <c r="O29" i="11" s="1"/>
  <c r="O31" i="11" s="1"/>
  <c r="P29" i="11" s="1"/>
  <c r="P31" i="11" s="1"/>
  <c r="Q26" i="11"/>
  <c r="Q27" i="11" s="1"/>
  <c r="B19" i="12" l="1"/>
  <c r="B28" i="12"/>
  <c r="B33" i="12" s="1"/>
  <c r="H21" i="12" s="1"/>
  <c r="E32" i="11"/>
  <c r="E33" i="11" s="1"/>
  <c r="E36" i="11" s="1"/>
  <c r="E35" i="13" l="1"/>
  <c r="E38" i="13" s="1"/>
  <c r="J4" i="12"/>
  <c r="H22" i="12"/>
  <c r="I31" i="12"/>
  <c r="I32" i="1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<sst xmlns="http://schemas.openxmlformats.org/spreadsheetml/2006/main" count="343" uniqueCount="241">
  <si>
    <t>Design Wastewater Flow</t>
  </si>
  <si>
    <t>Q</t>
  </si>
  <si>
    <t>R</t>
  </si>
  <si>
    <t>Parameter</t>
  </si>
  <si>
    <t>Symbol</t>
  </si>
  <si>
    <t>Formula</t>
  </si>
  <si>
    <t>Units</t>
  </si>
  <si>
    <t>Jan</t>
  </si>
  <si>
    <t>Feb</t>
  </si>
  <si>
    <t>Mar</t>
  </si>
  <si>
    <t>Apr</t>
  </si>
  <si>
    <t>May</t>
  </si>
  <si>
    <t>Jun</t>
  </si>
  <si>
    <t>Jul</t>
  </si>
  <si>
    <t>Aug</t>
  </si>
  <si>
    <t>Sep</t>
  </si>
  <si>
    <t>Oct</t>
  </si>
  <si>
    <t>Nov</t>
  </si>
  <si>
    <t>Dec</t>
  </si>
  <si>
    <t>Total</t>
  </si>
  <si>
    <t>Days in month</t>
  </si>
  <si>
    <t>Rainfall</t>
  </si>
  <si>
    <t>Evaporation</t>
  </si>
  <si>
    <t>Crop Factor</t>
  </si>
  <si>
    <t>OUTPUTS</t>
  </si>
  <si>
    <t>Evapotranspiration</t>
  </si>
  <si>
    <t>Percolation</t>
  </si>
  <si>
    <t>Outputs</t>
  </si>
  <si>
    <t>INPUTS</t>
  </si>
  <si>
    <t>Inputs</t>
  </si>
  <si>
    <t>Cumulative Storage</t>
  </si>
  <si>
    <t>D</t>
  </si>
  <si>
    <t>E</t>
  </si>
  <si>
    <t>C</t>
  </si>
  <si>
    <t>ET</t>
  </si>
  <si>
    <t>B</t>
  </si>
  <si>
    <t>W</t>
  </si>
  <si>
    <t>S</t>
  </si>
  <si>
    <t>M</t>
  </si>
  <si>
    <t>L</t>
  </si>
  <si>
    <t>V</t>
  </si>
  <si>
    <t>ExC</t>
  </si>
  <si>
    <t>ET+B</t>
  </si>
  <si>
    <t>N</t>
  </si>
  <si>
    <t>\</t>
  </si>
  <si>
    <t>days</t>
  </si>
  <si>
    <t>mm/month</t>
  </si>
  <si>
    <t>mm</t>
  </si>
  <si>
    <t>NxL</t>
  </si>
  <si>
    <t>Effluent Irrigation</t>
  </si>
  <si>
    <t>(QxD)/L</t>
  </si>
  <si>
    <t>Retained Rainfall</t>
  </si>
  <si>
    <t>RR</t>
  </si>
  <si>
    <t>RR+W</t>
  </si>
  <si>
    <t>(RR+W)-(ET+B)</t>
  </si>
  <si>
    <t>Storage remaining from previous month</t>
  </si>
  <si>
    <t>Rainfall Data</t>
  </si>
  <si>
    <t>Evaporation Data</t>
  </si>
  <si>
    <t>L/day</t>
  </si>
  <si>
    <t xml:space="preserve"> </t>
  </si>
  <si>
    <t>Please read the attached notes before using this spreadsheet.</t>
  </si>
  <si>
    <r>
      <t>m</t>
    </r>
    <r>
      <rPr>
        <b/>
        <vertAlign val="superscript"/>
        <sz val="14"/>
        <rFont val="Arial"/>
        <family val="2"/>
      </rPr>
      <t>2</t>
    </r>
  </si>
  <si>
    <t>NOTES</t>
  </si>
  <si>
    <r>
      <t xml:space="preserve">INPUT DATA </t>
    </r>
    <r>
      <rPr>
        <b/>
        <vertAlign val="superscript"/>
        <sz val="14"/>
        <color indexed="10"/>
        <rFont val="Arial"/>
        <family val="2"/>
      </rPr>
      <t>[1]</t>
    </r>
  </si>
  <si>
    <t>Wastewater Loading</t>
  </si>
  <si>
    <t>Nutrient Crop Uptake</t>
  </si>
  <si>
    <t>Hydraulic Load</t>
  </si>
  <si>
    <t>L/Day</t>
  </si>
  <si>
    <t>Crop N Uptake</t>
  </si>
  <si>
    <t>kg/ha/yr</t>
  </si>
  <si>
    <t>which equals</t>
  </si>
  <si>
    <t>Effluent N Concentration</t>
  </si>
  <si>
    <t>mg/L</t>
  </si>
  <si>
    <t>Crop P Uptake</t>
  </si>
  <si>
    <t>Decimal</t>
  </si>
  <si>
    <t xml:space="preserve">Phosphorus Sorption </t>
  </si>
  <si>
    <t>P-sorption result</t>
  </si>
  <si>
    <t>mg/kg</t>
  </si>
  <si>
    <t>kg/ha</t>
  </si>
  <si>
    <t>Bulk Density</t>
  </si>
  <si>
    <t>Effluent P Concentration</t>
  </si>
  <si>
    <t>Depth of Soil</t>
  </si>
  <si>
    <t xml:space="preserve">m </t>
  </si>
  <si>
    <t>Design Life of System</t>
  </si>
  <si>
    <t>yrs</t>
  </si>
  <si>
    <t>METHOD 1:  NUTRIENT BALANCE BASED ON ANNUAL CROP UPTAKE RATES</t>
  </si>
  <si>
    <t>Minimum Area required with zero buffer</t>
  </si>
  <si>
    <t xml:space="preserve">Determination of Buffer Zone Size for a Nominated Land Application Area (LAA) </t>
  </si>
  <si>
    <t>Nitrogen</t>
  </si>
  <si>
    <r>
      <t>m</t>
    </r>
    <r>
      <rPr>
        <vertAlign val="superscript"/>
        <sz val="10"/>
        <rFont val="Arial"/>
        <family val="2"/>
      </rPr>
      <t>2</t>
    </r>
  </si>
  <si>
    <t>Nominated LAA Size</t>
  </si>
  <si>
    <t>Phosphorus</t>
  </si>
  <si>
    <t>Predicted N Export from LAA</t>
  </si>
  <si>
    <t>kg/year</t>
  </si>
  <si>
    <t>Predicted P Export from LAA</t>
  </si>
  <si>
    <t>Phosphorus Longevity for LAA</t>
  </si>
  <si>
    <t>Years</t>
  </si>
  <si>
    <t>Minimum Buffer Required for excess nutrient</t>
  </si>
  <si>
    <t xml:space="preserve">STEP 1: Using the nominated LAA Size </t>
  </si>
  <si>
    <t>kg</t>
  </si>
  <si>
    <t>PHOSPHORUS BALANCE</t>
  </si>
  <si>
    <t>Daily P Load</t>
  </si>
  <si>
    <t>kg/day</t>
  </si>
  <si>
    <t>Phosphorus generated over life of system</t>
  </si>
  <si>
    <t>Daily Uptake</t>
  </si>
  <si>
    <t>Phosphorus vegetative uptake for life of system</t>
  </si>
  <si>
    <r>
      <t>kg/m</t>
    </r>
    <r>
      <rPr>
        <vertAlign val="superscript"/>
        <sz val="10"/>
        <rFont val="Arial"/>
        <family val="2"/>
      </rPr>
      <t>2</t>
    </r>
  </si>
  <si>
    <t>Measured p-sorption capacity</t>
  </si>
  <si>
    <t>Assumed p-sorption capacity</t>
  </si>
  <si>
    <t>Phosphorus adsorbed in 50 years</t>
  </si>
  <si>
    <t>Site P-sorption capacity</t>
  </si>
  <si>
    <t>Desired Annual P Application Rate</t>
  </si>
  <si>
    <r>
      <t>mg/m</t>
    </r>
    <r>
      <rPr>
        <vertAlign val="superscript"/>
        <sz val="10"/>
        <rFont val="Arial"/>
        <family val="2"/>
      </rPr>
      <t>2</t>
    </r>
    <r>
      <rPr>
        <sz val="10"/>
        <rFont val="Arial"/>
        <family val="2"/>
      </rPr>
      <t>/day</t>
    </r>
  </si>
  <si>
    <r>
      <t>m</t>
    </r>
    <r>
      <rPr>
        <vertAlign val="superscript"/>
        <sz val="12"/>
        <rFont val="Arial"/>
        <family val="2"/>
      </rPr>
      <t>2</t>
    </r>
  </si>
  <si>
    <t>Nominated Land Application Area</t>
  </si>
  <si>
    <t>mm/day</t>
  </si>
  <si>
    <t>unitless</t>
  </si>
  <si>
    <t>Nutrient Balance</t>
  </si>
  <si>
    <t>Site Address:</t>
  </si>
  <si>
    <t>Nominated Area Water Balance &amp; Storage Calculations</t>
  </si>
  <si>
    <t>STORAGE CALCULATION</t>
  </si>
  <si>
    <t>Storage for the month</t>
  </si>
  <si>
    <t>Maximum Storage for Nominated Area</t>
  </si>
  <si>
    <t>LAND AREA REQUIRED FOR ZERO STORAGE</t>
  </si>
  <si>
    <t>MINIMUM AREA REQUIRED FOR ZERO STORAGE:</t>
  </si>
  <si>
    <t>INPUT DATA</t>
  </si>
  <si>
    <t>Total N Loss to Soil</t>
  </si>
  <si>
    <t>P-load to be sorbed</t>
  </si>
  <si>
    <t>0.7-0.8</t>
  </si>
  <si>
    <t>Remaining N Load after soil loss</t>
  </si>
  <si>
    <t>% Lost to Soil Processes (Geary &amp; Gardner 1996)</t>
  </si>
  <si>
    <t>mg/day</t>
  </si>
  <si>
    <t>(DPR/7)xD</t>
  </si>
  <si>
    <t>Daily Evaporation</t>
  </si>
  <si>
    <t>Flow Allowance</t>
  </si>
  <si>
    <t>No. of bedrooms</t>
  </si>
  <si>
    <t>L/p/d</t>
  </si>
  <si>
    <t>Estimates evapotranspiration as a fraction of pan evaporation; varies with season and crop type</t>
  </si>
  <si>
    <t>Proportion of rainfall that remains onsite and infiltrates; function of slope/cover, allowing for any runoff</t>
  </si>
  <si>
    <t xml:space="preserve">Mean Monthly Data </t>
  </si>
  <si>
    <t>[2]. Conservative estimate based on work by Geary &amp; Gardner (1996) and Patterson (2002).</t>
  </si>
  <si>
    <t>[3]. A multiplier, normally between 0.25 and 0.75, is used to estimate actual P-sorption under field conditions which is assumed to be less than laboratory estimates.</t>
  </si>
  <si>
    <r>
      <t xml:space="preserve">[1]. Model sensitivity to input parameters will affect the accuracy of the result obtained.  Where possible site specific data should be used.  Otherwise data should be obtained from a reliable source such as,
- </t>
    </r>
    <r>
      <rPr>
        <i/>
        <sz val="10"/>
        <rFont val="Arial"/>
        <family val="2"/>
      </rPr>
      <t>Environment and Health Protection Guidelines: Onsite Sewage Management for Single Households
- Appropriate Peer Reviewed Papers 
- EPA Guidelines for Effluent Irrigation
- USEPA Onsite Systems Manual.</t>
    </r>
  </si>
  <si>
    <t>Lord Howe Island Aero BoM 200839</t>
  </si>
  <si>
    <t>Beds + 1</t>
  </si>
  <si>
    <t>LHI Soils</t>
  </si>
  <si>
    <t>Sand</t>
  </si>
  <si>
    <t>DPR</t>
  </si>
  <si>
    <t>units</t>
  </si>
  <si>
    <t>Effective rainfall</t>
  </si>
  <si>
    <t>Norfolk Island BoM 200288</t>
  </si>
  <si>
    <t xml:space="preserve">Daily DPR </t>
  </si>
  <si>
    <t>number</t>
  </si>
  <si>
    <r>
      <t>R</t>
    </r>
    <r>
      <rPr>
        <vertAlign val="subscript"/>
        <sz val="12"/>
        <rFont val="Arial"/>
        <family val="2"/>
      </rPr>
      <t>C</t>
    </r>
  </si>
  <si>
    <r>
      <t>Equivalent to litres per m</t>
    </r>
    <r>
      <rPr>
        <vertAlign val="superscript"/>
        <sz val="12"/>
        <rFont val="Arial"/>
        <family val="2"/>
      </rPr>
      <t>2</t>
    </r>
    <r>
      <rPr>
        <sz val="12"/>
        <rFont val="Arial"/>
        <family val="2"/>
      </rPr>
      <t xml:space="preserve"> per day - based on LHI Strategy for secondary effluent</t>
    </r>
  </si>
  <si>
    <t>1. Enter the property address in Cell B2.</t>
  </si>
  <si>
    <t>6. Mean monthly rainfall data for Lord Howe Island Aero and daily evaporation data for Norfolk Island are used in the water balance spreadsheet. The spreadsheet is already populated with these values.</t>
  </si>
  <si>
    <t>OCCUPANCY</t>
  </si>
  <si>
    <t>SOILS</t>
  </si>
  <si>
    <t>Effective Rainfall/Runoff Coefficient</t>
  </si>
  <si>
    <t>Daily Design Percolation Rate</t>
  </si>
  <si>
    <t>L/d</t>
  </si>
  <si>
    <t>Occupancy</t>
  </si>
  <si>
    <t>Design Flow</t>
  </si>
  <si>
    <t>3. For non-domestic premises determine the daily hydrauic load. This value should represent maximum potential occupancy and should take into consideration all possible wastewater generating activities. For non-domestic premises this value should be transferred to Cell C4.</t>
  </si>
  <si>
    <t>4. Determine the soil type in the proposed land application area. Depending on the soil type, select the appropriate value for Daily Design Percolation Rate (Daily DPR) from Cells U4, U5 or U6. Enter the selected Daily DPR value in Cell C5.</t>
  </si>
  <si>
    <t xml:space="preserve">5. Again depending on the soil type, select the appropriate value for Effective Rainfall (Rainfall Runoff Coefficient) from Cells W4, W5 or W6. Enter the selected Rainfall Runoff Coefficient value in Cell C8.  </t>
  </si>
  <si>
    <t>7. The spreadsheet is also already populated with appropriate Crop Factor values used to convert Evaporation data to Evapotranspiration.</t>
  </si>
  <si>
    <r>
      <t>% of Predicted P-sorp.</t>
    </r>
    <r>
      <rPr>
        <vertAlign val="superscript"/>
        <sz val="14"/>
        <rFont val="Arial"/>
        <family val="2"/>
      </rPr>
      <t>[2]</t>
    </r>
  </si>
  <si>
    <t>EFFLUENT NUTRIENT CONCENTRATION</t>
  </si>
  <si>
    <t>System type</t>
  </si>
  <si>
    <t>Secondary treatment (AWTS)</t>
  </si>
  <si>
    <t>Fuji Clean CE1500EX</t>
  </si>
  <si>
    <t>Fuji Clean CRX1500</t>
  </si>
  <si>
    <t>Rootzone Model 1200</t>
  </si>
  <si>
    <t>CROP NUTRIENT UPTAKE</t>
  </si>
  <si>
    <t>Vegetation type</t>
  </si>
  <si>
    <t>Kikuyu</t>
  </si>
  <si>
    <t>Coastal rainforest</t>
  </si>
  <si>
    <t>Kentia palm plantation</t>
  </si>
  <si>
    <t>P-sorption</t>
  </si>
  <si>
    <t>Calcareous earth</t>
  </si>
  <si>
    <t>Volcanic soil</t>
  </si>
  <si>
    <t>SOIL PHOSPHORUS SORPTION</t>
  </si>
  <si>
    <t>Significant natural vegetation</t>
  </si>
  <si>
    <r>
      <t>g/cm</t>
    </r>
    <r>
      <rPr>
        <vertAlign val="superscript"/>
        <sz val="10"/>
        <rFont val="Arial"/>
        <family val="2"/>
      </rPr>
      <t>3</t>
    </r>
  </si>
  <si>
    <t>SOIL BULK DENSITY</t>
  </si>
  <si>
    <t>8. The spreadsheet automatically calculates the land application area required to avoid the need for wet weather storage in all months. This is the maximum value of Cells E33 to P33. This value should be inserted in Cell C6. If this area cannot be achieved, it is possible to enter lesser values in Cell C6, in which case the words "Storage Required" appear in Cell E35 and the required "wet weather" storage volume will be shown in Cell E32.</t>
  </si>
  <si>
    <t>SUMMARY - LAND APPLICATION AREA REQUIRED BASED ON THE MOST LIMITING BALANCE =</t>
  </si>
  <si>
    <t>1. Select the appropriate effluent nutrient concentration for the chosen treatment system type and enter the respective values for nitrogen and phosphorus in Cells C9 and C13.</t>
  </si>
  <si>
    <t>3. Select the appropriate soil phosphorus sorption value for the soil type in the land application area and enter the value in Cell G11.</t>
  </si>
  <si>
    <t>4. Select the appropriate soil bulk density value for the soil type in the land application area and enter the value in Cell G12.</t>
  </si>
  <si>
    <t>5. Set the appropriate depth of soil in the land application area in Cell G13. It is recommended that this depth not exceed 0.8 metres unless site specific data has been obtained and the soil is of uniform character for the whole depth of the soil.</t>
  </si>
  <si>
    <t>6. The minimum required land application area to meet the requirements of the water and nutrient balance is identified in Cell J4.</t>
  </si>
  <si>
    <t>2. For domestic premises, determine number of bedrooms and enter number in Cell P5. This will then calculate the daily design wastewater flow on the basis of occupancy of two persons for the first bedroom and one person for each subsequent bedroom. The daily
 hydraulic load will then be displayed in Cell Q6. This value should then be transferred to Cell C4.</t>
  </si>
  <si>
    <t>2. Select the appropriate crop nutrient uptake rates for the vegetation type in the land application area and enter the respective values for nitrogen and phosphorus in Cells G8 and G9.</t>
  </si>
  <si>
    <t>Based on analysis of LHI soils 2014</t>
  </si>
  <si>
    <t>Somerset Secondary System</t>
  </si>
  <si>
    <t>Bedrooms</t>
  </si>
  <si>
    <t>pax</t>
  </si>
  <si>
    <t>EP</t>
  </si>
  <si>
    <t>T</t>
  </si>
  <si>
    <t>Column1</t>
  </si>
  <si>
    <t>Column2</t>
  </si>
  <si>
    <t>units3</t>
  </si>
  <si>
    <t>Water Balance</t>
  </si>
  <si>
    <t>Effluent Value</t>
  </si>
  <si>
    <t>Vegetation of Irrigation area</t>
  </si>
  <si>
    <t>Bulk denisity</t>
  </si>
  <si>
    <t>Phospurus sorpion</t>
  </si>
  <si>
    <t>Area according to limiting factor</t>
  </si>
  <si>
    <t>Bulk Denisity</t>
  </si>
  <si>
    <t>Daily DPR</t>
  </si>
  <si>
    <t>Rainfall Co</t>
  </si>
  <si>
    <t>Area required</t>
  </si>
  <si>
    <t>Instructions</t>
  </si>
  <si>
    <t xml:space="preserve">The Spreadsheet has been debveloped by the Lord Howe Island Board (LHIB) to be consistent with the Wasterwater Management Strategy for LHI. </t>
  </si>
  <si>
    <t>Overview</t>
  </si>
  <si>
    <t>This water and nutrience balance spreadsheet has been developed for the purpose of providing guidance to applicants seeking to install or renew wastewater management systems on Lord Howe Island (LHI).</t>
  </si>
  <si>
    <t xml:space="preserve">The information contained in this spreadsheed does not prevent the LHIB from requesting additional information and calculations in relation to the effluent management syetem at the LHIB's discression. </t>
  </si>
  <si>
    <t>Square metres</t>
  </si>
  <si>
    <t>Litres/Day</t>
  </si>
  <si>
    <t>Litres/day</t>
  </si>
  <si>
    <t>Persons</t>
  </si>
  <si>
    <t xml:space="preserve">The area required for the irrigation area is taken as the highest limiting factor from water balance, nitrogen and phospherous calculations.  </t>
  </si>
  <si>
    <t>Please fill in all green cells including:</t>
  </si>
  <si>
    <t>Number of bedrooms the wastewater management system is proposed to service.</t>
  </si>
  <si>
    <t>The total capacity of tourists that the wastewater management system will service.</t>
  </si>
  <si>
    <t xml:space="preserve">Catcultated additional hydraulic load created by activities that are ancillary or separate to residential or tourist accomodation. Note that detailed calculations need to be provided, demonstrating the method for calculating the dditional loads. </t>
  </si>
  <si>
    <t xml:space="preserve">Select the soil type from the drop down list. Soil types need to be demonstrated with photographic evidence. </t>
  </si>
  <si>
    <t>Input the name and brand of the proposed system.</t>
  </si>
  <si>
    <t>Input the effluent nitrogen (N) concentration (from supplier).</t>
  </si>
  <si>
    <t>Input the effluent phospherous (P) concentration (from supplier).</t>
  </si>
  <si>
    <t>Input the design life of the system (from supplier).</t>
  </si>
  <si>
    <t xml:space="preserve">From the dropdown list, select the vegetation types where the irrigation area is proposed. Where effluent disposal is proposed in the SNV, a construction management plan may be required. </t>
  </si>
  <si>
    <t>How many Bedrooms does the infrastructure contain?</t>
  </si>
  <si>
    <t>What is the minimum number of tourist that the system serivces?</t>
  </si>
  <si>
    <t>Do you have any additional hydraulic load on the system (transit room, restaurant, commercial fittings, ect)?</t>
  </si>
  <si>
    <t>Your total Hydraulic load is:</t>
  </si>
  <si>
    <t>What Soil type is your irrigation area?</t>
  </si>
  <si>
    <t>Area required for water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</si>
</sst>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
    <numFmt numFmtId="166" formatCode="0.000"/>
  </numFmts>
  <fonts count="31" x14ac:knownFonts="1">
    <font>
      <sz val="12"/>
      <name val="Times New Roman"/>
    </font>
    <font>
      <sz val="10"/>
      <name val="Arial"/>
      <family val="2"/>
    </font>
    <font>
      <b/>
      <sz val="10"/>
      <name val="Arial"/>
      <family val="2"/>
    </font>
    <font>
      <sz val="12"/>
      <name val="Arial"/>
      <family val="2"/>
    </font>
    <font>
      <b/>
      <sz val="24"/>
      <name val="Arial"/>
      <family val="2"/>
    </font>
    <font>
      <b/>
      <u/>
      <sz val="24"/>
      <name val="Arial"/>
      <family val="2"/>
    </font>
    <font>
      <b/>
      <sz val="12"/>
      <name val="Arial"/>
      <family val="2"/>
    </font>
    <font>
      <i/>
      <sz val="12"/>
      <name val="Arial"/>
      <family val="2"/>
    </font>
    <font>
      <b/>
      <sz val="14"/>
      <name val="Arial"/>
      <family val="2"/>
    </font>
    <font>
      <sz val="14"/>
      <name val="Arial"/>
      <family val="2"/>
    </font>
    <font>
      <b/>
      <vertAlign val="superscript"/>
      <sz val="14"/>
      <name val="Arial"/>
      <family val="2"/>
    </font>
    <font>
      <b/>
      <vertAlign val="superscript"/>
      <sz val="14"/>
      <color indexed="10"/>
      <name val="Arial"/>
      <family val="2"/>
    </font>
    <font>
      <i/>
      <sz val="10"/>
      <name val="Arial"/>
      <family val="2"/>
    </font>
    <font>
      <b/>
      <sz val="10"/>
      <color indexed="10"/>
      <name val="Arial"/>
      <family val="2"/>
    </font>
    <font>
      <vertAlign val="superscript"/>
      <sz val="10"/>
      <name val="Arial"/>
      <family val="2"/>
    </font>
    <font>
      <sz val="10"/>
      <name val="Arial"/>
      <family val="2"/>
    </font>
    <font>
      <b/>
      <sz val="12"/>
      <color indexed="10"/>
      <name val="Arial"/>
      <family val="2"/>
    </font>
    <font>
      <vertAlign val="superscript"/>
      <sz val="12"/>
      <name val="Arial"/>
      <family val="2"/>
    </font>
    <font>
      <b/>
      <sz val="12"/>
      <color indexed="61"/>
      <name val="Arial"/>
      <family val="2"/>
    </font>
    <font>
      <b/>
      <sz val="18"/>
      <name val="Arial"/>
      <family val="2"/>
    </font>
    <font>
      <sz val="24"/>
      <name val="Times New Roman"/>
      <family val="1"/>
    </font>
    <font>
      <b/>
      <sz val="14"/>
      <color indexed="10"/>
      <name val="Arial"/>
      <family val="2"/>
    </font>
    <font>
      <sz val="12"/>
      <color indexed="8"/>
      <name val="Arial"/>
      <family val="2"/>
    </font>
    <font>
      <sz val="12"/>
      <color indexed="10"/>
      <name val="Arial"/>
      <family val="2"/>
    </font>
    <font>
      <sz val="12"/>
      <color indexed="12"/>
      <name val="Arial"/>
      <family val="2"/>
    </font>
    <font>
      <sz val="9.6"/>
      <name val="Arial"/>
      <family val="2"/>
    </font>
    <font>
      <vertAlign val="subscript"/>
      <sz val="12"/>
      <name val="Arial"/>
      <family val="2"/>
    </font>
    <font>
      <vertAlign val="superscript"/>
      <sz val="14"/>
      <name val="Arial"/>
      <family val="2"/>
    </font>
    <font>
      <sz val="12"/>
      <color theme="0"/>
      <name val="Times New Roman"/>
      <family val="1"/>
    </font>
    <font>
      <sz val="10"/>
      <color theme="0"/>
      <name val="Arial"/>
      <family val="2"/>
    </font>
    <font>
      <b/>
      <sz val="10"/>
      <color rgb="FFFF0000"/>
      <name val="Arial"/>
      <family val="2"/>
    </font>
  </fonts>
  <fills count="13">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7"/>
        <bgColor indexed="64"/>
      </patternFill>
    </fill>
    <fill>
      <patternFill patternType="solid">
        <fgColor indexed="43"/>
        <bgColor indexed="64"/>
      </patternFill>
    </fill>
    <fill>
      <patternFill patternType="solid">
        <fgColor indexed="11"/>
        <bgColor indexed="64"/>
      </patternFill>
    </fill>
    <fill>
      <patternFill patternType="solid">
        <fgColor theme="0"/>
        <bgColor indexed="64"/>
      </patternFill>
    </fill>
    <fill>
      <patternFill patternType="solid">
        <fgColor rgb="FFFFFF99"/>
        <bgColor indexed="64"/>
      </patternFill>
    </fill>
    <fill>
      <patternFill patternType="solid">
        <fgColor theme="1" tint="0.249977111117893"/>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4.9989318521683403E-2"/>
        <bgColor indexed="64"/>
      </patternFill>
    </fill>
  </fills>
  <borders count="48">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2">
    <xf numFmtId="0" fontId="0" fillId="0" borderId="0"/>
    <xf numFmtId="0" fontId="15" fillId="0" borderId="0"/>
  </cellStyleXfs>
  <cellXfs count="277">
    <xf numFmtId="0" fontId="0" fillId="0" borderId="0" xfId="0"/>
    <xf numFmtId="0" fontId="1" fillId="0" borderId="0" xfId="0" applyFont="1" applyAlignment="1">
      <alignment horizontal="center"/>
    </xf>
    <xf numFmtId="0" fontId="3" fillId="0" borderId="0" xfId="0" applyFont="1"/>
    <xf numFmtId="0" fontId="1" fillId="0" borderId="0" xfId="0" applyFont="1"/>
    <xf numFmtId="0" fontId="6" fillId="0" borderId="0" xfId="0" applyFont="1"/>
    <xf numFmtId="0" fontId="6" fillId="0" borderId="0" xfId="1" applyFont="1"/>
    <xf numFmtId="0" fontId="15" fillId="0" borderId="0" xfId="1"/>
    <xf numFmtId="0" fontId="1" fillId="6" borderId="0" xfId="0" applyFont="1" applyFill="1" applyAlignment="1">
      <alignment horizontal="center"/>
    </xf>
    <xf numFmtId="0" fontId="0" fillId="0" borderId="0" xfId="0" applyAlignment="1">
      <alignment wrapText="1"/>
    </xf>
    <xf numFmtId="0" fontId="0" fillId="0" borderId="0" xfId="0" applyAlignment="1">
      <alignment horizontal="left"/>
    </xf>
    <xf numFmtId="0" fontId="28" fillId="0" borderId="0" xfId="0" applyFont="1"/>
    <xf numFmtId="0" fontId="29" fillId="0" borderId="7" xfId="1" applyFont="1" applyBorder="1" applyAlignment="1" applyProtection="1">
      <alignment horizontal="left"/>
      <protection locked="0" hidden="1"/>
    </xf>
    <xf numFmtId="0" fontId="1" fillId="10" borderId="40" xfId="0" applyFont="1" applyFill="1" applyBorder="1" applyProtection="1">
      <protection locked="0"/>
    </xf>
    <xf numFmtId="0" fontId="1" fillId="10" borderId="44" xfId="0" applyFont="1" applyFill="1" applyBorder="1" applyProtection="1">
      <protection locked="0"/>
    </xf>
    <xf numFmtId="0" fontId="1" fillId="10" borderId="45" xfId="0" applyFont="1" applyFill="1" applyBorder="1" applyProtection="1">
      <protection locked="0"/>
    </xf>
    <xf numFmtId="0" fontId="1" fillId="10" borderId="46" xfId="0" applyFont="1" applyFill="1" applyBorder="1" applyProtection="1">
      <protection locked="0"/>
    </xf>
    <xf numFmtId="0" fontId="6" fillId="0" borderId="0" xfId="1" applyFont="1" applyProtection="1"/>
    <xf numFmtId="0" fontId="15" fillId="0" borderId="0" xfId="1" applyProtection="1"/>
    <xf numFmtId="0" fontId="1" fillId="0" borderId="31" xfId="1" applyFont="1" applyBorder="1" applyProtection="1"/>
    <xf numFmtId="0" fontId="1" fillId="0" borderId="8" xfId="1" applyFont="1" applyBorder="1" applyProtection="1"/>
    <xf numFmtId="0" fontId="1" fillId="0" borderId="10" xfId="1" applyFont="1" applyBorder="1" applyProtection="1"/>
    <xf numFmtId="0" fontId="1" fillId="0" borderId="2" xfId="1" applyFont="1" applyBorder="1" applyAlignment="1" applyProtection="1">
      <alignment horizontal="center"/>
    </xf>
    <xf numFmtId="0" fontId="15" fillId="0" borderId="2" xfId="1" applyBorder="1" applyAlignment="1" applyProtection="1">
      <alignment horizontal="center"/>
    </xf>
    <xf numFmtId="0" fontId="13" fillId="0" borderId="2" xfId="1" applyFont="1" applyBorder="1" applyProtection="1"/>
    <xf numFmtId="0" fontId="13" fillId="4" borderId="18" xfId="1" applyFont="1" applyFill="1" applyBorder="1" applyProtection="1"/>
    <xf numFmtId="0" fontId="13" fillId="3" borderId="18" xfId="1" applyFont="1" applyFill="1" applyBorder="1" applyProtection="1"/>
    <xf numFmtId="0" fontId="1" fillId="0" borderId="22" xfId="1" applyFont="1" applyBorder="1" applyProtection="1"/>
    <xf numFmtId="0" fontId="15" fillId="0" borderId="24" xfId="1" applyBorder="1" applyProtection="1"/>
    <xf numFmtId="0" fontId="1" fillId="0" borderId="24" xfId="1" applyFont="1" applyBorder="1" applyAlignment="1" applyProtection="1">
      <alignment horizontal="center"/>
    </xf>
    <xf numFmtId="0" fontId="1" fillId="0" borderId="30" xfId="1" applyFont="1" applyBorder="1" applyAlignment="1" applyProtection="1">
      <alignment horizontal="center"/>
    </xf>
    <xf numFmtId="0" fontId="1" fillId="0" borderId="10" xfId="1" applyFont="1" applyBorder="1" applyProtection="1"/>
    <xf numFmtId="0" fontId="15" fillId="0" borderId="2" xfId="1" applyBorder="1" applyProtection="1"/>
    <xf numFmtId="0" fontId="1" fillId="0" borderId="31" xfId="1" applyFont="1" applyBorder="1" applyAlignment="1" applyProtection="1">
      <alignment horizontal="center"/>
    </xf>
    <xf numFmtId="0" fontId="1" fillId="0" borderId="38" xfId="1" applyFont="1" applyBorder="1" applyProtection="1"/>
    <xf numFmtId="0" fontId="15" fillId="0" borderId="14" xfId="1" applyBorder="1" applyProtection="1"/>
    <xf numFmtId="0" fontId="15" fillId="0" borderId="14" xfId="1" applyBorder="1" applyAlignment="1" applyProtection="1">
      <alignment horizontal="center"/>
    </xf>
    <xf numFmtId="0" fontId="1" fillId="0" borderId="11" xfId="1" applyFont="1" applyBorder="1" applyAlignment="1" applyProtection="1">
      <alignment horizontal="center"/>
    </xf>
    <xf numFmtId="0" fontId="15" fillId="0" borderId="2" xfId="1" applyBorder="1" applyProtection="1"/>
    <xf numFmtId="0" fontId="1" fillId="0" borderId="28" xfId="0" applyFont="1" applyBorder="1" applyProtection="1"/>
    <xf numFmtId="0" fontId="1" fillId="0" borderId="22" xfId="0" applyFont="1" applyBorder="1" applyProtection="1"/>
    <xf numFmtId="0" fontId="1" fillId="0" borderId="30" xfId="0" applyFont="1" applyBorder="1" applyAlignment="1" applyProtection="1">
      <alignment horizontal="center"/>
    </xf>
    <xf numFmtId="0" fontId="1" fillId="0" borderId="22" xfId="0" applyFont="1" applyBorder="1" applyAlignment="1" applyProtection="1">
      <alignment horizontal="center"/>
    </xf>
    <xf numFmtId="0" fontId="1" fillId="0" borderId="8" xfId="0" applyFont="1" applyBorder="1" applyProtection="1"/>
    <xf numFmtId="0" fontId="1" fillId="0" borderId="10" xfId="0" applyFont="1" applyBorder="1" applyProtection="1"/>
    <xf numFmtId="1" fontId="1" fillId="0" borderId="31" xfId="0" applyNumberFormat="1" applyFont="1" applyBorder="1" applyAlignment="1" applyProtection="1">
      <alignment horizontal="center"/>
    </xf>
    <xf numFmtId="1" fontId="1" fillId="0" borderId="10" xfId="0" applyNumberFormat="1" applyFont="1" applyBorder="1" applyAlignment="1" applyProtection="1">
      <alignment horizontal="center"/>
    </xf>
    <xf numFmtId="0" fontId="1" fillId="0" borderId="31" xfId="0" applyFont="1" applyBorder="1" applyAlignment="1" applyProtection="1">
      <alignment horizontal="center"/>
    </xf>
    <xf numFmtId="0" fontId="1" fillId="0" borderId="12" xfId="0" applyFont="1" applyBorder="1" applyProtection="1"/>
    <xf numFmtId="0" fontId="1" fillId="0" borderId="38" xfId="0" applyFont="1" applyBorder="1" applyProtection="1"/>
    <xf numFmtId="1" fontId="1" fillId="0" borderId="11" xfId="0" applyNumberFormat="1" applyFont="1" applyBorder="1" applyAlignment="1" applyProtection="1">
      <alignment horizontal="center"/>
    </xf>
    <xf numFmtId="1" fontId="1" fillId="0" borderId="38" xfId="0" applyNumberFormat="1" applyFont="1" applyBorder="1" applyAlignment="1" applyProtection="1">
      <alignment horizontal="center"/>
    </xf>
    <xf numFmtId="0" fontId="1" fillId="0" borderId="11" xfId="0" applyFont="1" applyBorder="1" applyAlignment="1" applyProtection="1">
      <alignment horizontal="center"/>
    </xf>
    <xf numFmtId="164" fontId="1" fillId="0" borderId="31" xfId="0" applyNumberFormat="1" applyFont="1" applyBorder="1" applyAlignment="1" applyProtection="1">
      <alignment horizontal="center"/>
    </xf>
    <xf numFmtId="164" fontId="1" fillId="0" borderId="10" xfId="0" applyNumberFormat="1" applyFont="1" applyBorder="1" applyAlignment="1" applyProtection="1">
      <alignment horizontal="center"/>
    </xf>
    <xf numFmtId="164" fontId="1" fillId="0" borderId="11" xfId="0" applyNumberFormat="1" applyFont="1" applyBorder="1" applyAlignment="1" applyProtection="1">
      <alignment horizontal="center"/>
    </xf>
    <xf numFmtId="164" fontId="1" fillId="0" borderId="38" xfId="0" applyNumberFormat="1" applyFont="1" applyBorder="1" applyAlignment="1" applyProtection="1">
      <alignment horizontal="center"/>
    </xf>
    <xf numFmtId="0" fontId="5" fillId="0" borderId="0" xfId="0" applyFont="1" applyProtection="1"/>
    <xf numFmtId="0" fontId="20" fillId="0" borderId="0" xfId="0" applyFont="1" applyProtection="1"/>
    <xf numFmtId="0" fontId="3" fillId="0" borderId="0" xfId="0" applyFont="1" applyProtection="1"/>
    <xf numFmtId="0" fontId="6" fillId="0" borderId="0" xfId="0" applyFont="1" applyProtection="1"/>
    <xf numFmtId="0" fontId="19" fillId="0" borderId="0" xfId="1" applyFont="1" applyAlignment="1" applyProtection="1">
      <alignment horizontal="left"/>
    </xf>
    <xf numFmtId="0" fontId="19" fillId="3" borderId="31" xfId="0" applyFont="1" applyFill="1" applyBorder="1" applyAlignment="1" applyProtection="1">
      <alignment horizontal="left"/>
    </xf>
    <xf numFmtId="0" fontId="19" fillId="3" borderId="8" xfId="0" applyFont="1" applyFill="1" applyBorder="1" applyAlignment="1" applyProtection="1">
      <alignment horizontal="left"/>
    </xf>
    <xf numFmtId="0" fontId="19" fillId="3" borderId="10" xfId="0" applyFont="1" applyFill="1" applyBorder="1" applyAlignment="1" applyProtection="1">
      <alignment horizontal="left"/>
    </xf>
    <xf numFmtId="0" fontId="1" fillId="0" borderId="0" xfId="0" applyFont="1" applyProtection="1"/>
    <xf numFmtId="0" fontId="3" fillId="0" borderId="31" xfId="0" applyFont="1" applyBorder="1" applyAlignment="1" applyProtection="1">
      <alignment horizontal="left"/>
    </xf>
    <xf numFmtId="0" fontId="3" fillId="0" borderId="10" xfId="0" applyFont="1" applyBorder="1" applyAlignment="1" applyProtection="1">
      <alignment horizontal="left"/>
    </xf>
    <xf numFmtId="0" fontId="3" fillId="7" borderId="2" xfId="0" applyFont="1" applyFill="1" applyBorder="1" applyAlignment="1" applyProtection="1">
      <alignment horizontal="center"/>
    </xf>
    <xf numFmtId="0" fontId="3" fillId="0" borderId="10" xfId="0" applyFont="1" applyBorder="1" applyAlignment="1" applyProtection="1">
      <alignment horizontal="center"/>
    </xf>
    <xf numFmtId="0" fontId="3" fillId="0" borderId="28" xfId="0" applyFont="1" applyBorder="1" applyProtection="1"/>
    <xf numFmtId="0" fontId="3" fillId="0" borderId="22" xfId="0" applyFont="1" applyBorder="1" applyProtection="1"/>
    <xf numFmtId="0" fontId="3" fillId="0" borderId="30" xfId="0" applyFont="1" applyBorder="1" applyAlignment="1" applyProtection="1">
      <alignment horizontal="center"/>
    </xf>
    <xf numFmtId="0" fontId="3" fillId="0" borderId="24" xfId="0" applyFont="1" applyBorder="1" applyAlignment="1" applyProtection="1">
      <alignment horizontal="center"/>
    </xf>
    <xf numFmtId="0" fontId="3" fillId="0" borderId="22" xfId="0" applyFont="1" applyBorder="1" applyAlignment="1" applyProtection="1">
      <alignment horizontal="center"/>
    </xf>
    <xf numFmtId="0" fontId="3" fillId="0" borderId="28" xfId="0" applyFont="1" applyBorder="1" applyAlignment="1" applyProtection="1">
      <alignment horizontal="center"/>
    </xf>
    <xf numFmtId="0" fontId="3" fillId="0" borderId="2" xfId="0" applyFont="1" applyBorder="1" applyProtection="1"/>
    <xf numFmtId="0" fontId="3" fillId="0" borderId="2" xfId="0" applyFont="1" applyBorder="1" applyAlignment="1" applyProtection="1">
      <alignment horizontal="center"/>
    </xf>
    <xf numFmtId="1" fontId="3" fillId="3" borderId="2" xfId="0" applyNumberFormat="1" applyFont="1" applyFill="1" applyBorder="1" applyAlignment="1" applyProtection="1">
      <alignment horizontal="center"/>
    </xf>
    <xf numFmtId="0" fontId="3" fillId="3" borderId="2" xfId="0" applyFont="1" applyFill="1" applyBorder="1" applyAlignment="1" applyProtection="1">
      <alignment horizontal="center"/>
    </xf>
    <xf numFmtId="0" fontId="3" fillId="0" borderId="10" xfId="0" applyFont="1" applyBorder="1" applyProtection="1"/>
    <xf numFmtId="0" fontId="3" fillId="0" borderId="8" xfId="0" applyFont="1" applyBorder="1" applyProtection="1"/>
    <xf numFmtId="164" fontId="3" fillId="0" borderId="31" xfId="0" applyNumberFormat="1" applyFont="1" applyBorder="1" applyAlignment="1" applyProtection="1">
      <alignment horizontal="center"/>
    </xf>
    <xf numFmtId="0" fontId="3" fillId="0" borderId="31" xfId="0" applyFont="1" applyBorder="1" applyAlignment="1" applyProtection="1">
      <alignment horizontal="center"/>
    </xf>
    <xf numFmtId="164" fontId="3" fillId="3" borderId="2" xfId="0" applyNumberFormat="1" applyFont="1" applyFill="1" applyBorder="1" applyAlignment="1" applyProtection="1">
      <alignment horizontal="center"/>
    </xf>
    <xf numFmtId="0" fontId="22" fillId="0" borderId="0" xfId="0" applyFont="1" applyAlignment="1" applyProtection="1">
      <alignment vertical="center" wrapText="1"/>
    </xf>
    <xf numFmtId="0" fontId="3" fillId="0" borderId="31" xfId="0" applyFont="1" applyBorder="1" applyAlignment="1" applyProtection="1">
      <alignment horizontal="left"/>
    </xf>
    <xf numFmtId="0" fontId="3" fillId="0" borderId="10" xfId="0" applyFont="1" applyBorder="1" applyAlignment="1" applyProtection="1">
      <alignment horizontal="left"/>
    </xf>
    <xf numFmtId="0" fontId="3" fillId="0" borderId="12" xfId="0" applyFont="1" applyBorder="1" applyProtection="1"/>
    <xf numFmtId="0" fontId="3" fillId="0" borderId="38" xfId="0" applyFont="1" applyBorder="1" applyProtection="1"/>
    <xf numFmtId="164" fontId="3" fillId="0" borderId="11" xfId="0" applyNumberFormat="1" applyFont="1" applyBorder="1" applyAlignment="1" applyProtection="1">
      <alignment horizontal="center"/>
    </xf>
    <xf numFmtId="0" fontId="3" fillId="0" borderId="14" xfId="0" applyFont="1" applyBorder="1" applyAlignment="1" applyProtection="1">
      <alignment horizontal="center"/>
    </xf>
    <xf numFmtId="0" fontId="3" fillId="0" borderId="11" xfId="0" applyFont="1" applyBorder="1" applyAlignment="1" applyProtection="1">
      <alignment horizontal="center"/>
    </xf>
    <xf numFmtId="0" fontId="3" fillId="0" borderId="38" xfId="0" applyFont="1" applyBorder="1" applyAlignment="1" applyProtection="1">
      <alignment horizontal="center"/>
    </xf>
    <xf numFmtId="0" fontId="23" fillId="0" borderId="0" xfId="0" applyFont="1" applyAlignment="1" applyProtection="1">
      <alignment vertical="center" wrapText="1"/>
    </xf>
    <xf numFmtId="0" fontId="24" fillId="0" borderId="0" xfId="0" applyFont="1" applyAlignment="1" applyProtection="1">
      <alignment vertical="center" wrapText="1"/>
    </xf>
    <xf numFmtId="0" fontId="3" fillId="0" borderId="31" xfId="0" applyFont="1" applyBorder="1" applyProtection="1"/>
    <xf numFmtId="0" fontId="25" fillId="0" borderId="0" xfId="0" applyFont="1" applyProtection="1"/>
    <xf numFmtId="0" fontId="3" fillId="0" borderId="31" xfId="0" applyFont="1" applyBorder="1" applyAlignment="1" applyProtection="1">
      <alignment horizontal="center"/>
    </xf>
    <xf numFmtId="0" fontId="0" fillId="0" borderId="8" xfId="0" applyBorder="1" applyAlignment="1" applyProtection="1">
      <alignment horizontal="center"/>
    </xf>
    <xf numFmtId="0" fontId="0" fillId="0" borderId="10" xfId="0" applyBorder="1" applyAlignment="1" applyProtection="1">
      <alignment horizontal="center"/>
    </xf>
    <xf numFmtId="0" fontId="2" fillId="0" borderId="26" xfId="0" applyFont="1" applyBorder="1" applyAlignment="1" applyProtection="1">
      <alignment horizontal="center"/>
    </xf>
    <xf numFmtId="0" fontId="2" fillId="0" borderId="27" xfId="0" applyFont="1" applyBorder="1" applyAlignment="1" applyProtection="1">
      <alignment horizontal="center"/>
    </xf>
    <xf numFmtId="0" fontId="2" fillId="0" borderId="5" xfId="0" applyFont="1" applyBorder="1" applyAlignment="1" applyProtection="1">
      <alignment horizontal="center"/>
    </xf>
    <xf numFmtId="0" fontId="1" fillId="0" borderId="0" xfId="0" applyFont="1" applyAlignment="1" applyProtection="1">
      <alignment horizontal="center"/>
    </xf>
    <xf numFmtId="0" fontId="1" fillId="0" borderId="1" xfId="0" applyFont="1" applyBorder="1" applyAlignment="1" applyProtection="1">
      <alignment horizontal="center"/>
    </xf>
    <xf numFmtId="0" fontId="2" fillId="0" borderId="6" xfId="0" applyFont="1" applyBorder="1" applyAlignment="1" applyProtection="1">
      <alignment horizontal="center"/>
    </xf>
    <xf numFmtId="164" fontId="1" fillId="0" borderId="28" xfId="0" applyNumberFormat="1" applyFont="1" applyBorder="1" applyAlignment="1" applyProtection="1">
      <alignment horizontal="center"/>
    </xf>
    <xf numFmtId="3" fontId="2" fillId="0" borderId="29" xfId="0" applyNumberFormat="1" applyFont="1" applyBorder="1" applyAlignment="1" applyProtection="1">
      <alignment horizontal="center"/>
    </xf>
    <xf numFmtId="0" fontId="1" fillId="0" borderId="0" xfId="0" applyFont="1" applyAlignment="1" applyProtection="1">
      <alignment horizontal="left"/>
    </xf>
    <xf numFmtId="3" fontId="2" fillId="0" borderId="6" xfId="0" applyNumberFormat="1" applyFont="1" applyBorder="1" applyAlignment="1" applyProtection="1">
      <alignment horizontal="center"/>
    </xf>
    <xf numFmtId="0" fontId="1" fillId="0" borderId="21" xfId="0" applyFont="1" applyBorder="1" applyAlignment="1" applyProtection="1">
      <alignment horizontal="center"/>
    </xf>
    <xf numFmtId="0" fontId="1" fillId="0" borderId="28" xfId="0" applyFont="1" applyBorder="1" applyAlignment="1" applyProtection="1">
      <alignment horizontal="center"/>
    </xf>
    <xf numFmtId="2" fontId="1" fillId="0" borderId="28" xfId="0" applyNumberFormat="1" applyFont="1" applyBorder="1" applyAlignment="1" applyProtection="1">
      <alignment horizontal="center"/>
    </xf>
    <xf numFmtId="0" fontId="6" fillId="0" borderId="1" xfId="0" applyFont="1" applyBorder="1" applyProtection="1"/>
    <xf numFmtId="0" fontId="3" fillId="0" borderId="0" xfId="0" applyFont="1" applyAlignment="1" applyProtection="1">
      <alignment horizontal="center"/>
    </xf>
    <xf numFmtId="0" fontId="6" fillId="0" borderId="6" xfId="0" applyFont="1" applyBorder="1" applyAlignment="1" applyProtection="1">
      <alignment horizontal="center"/>
    </xf>
    <xf numFmtId="164" fontId="1" fillId="0" borderId="0" xfId="0" applyNumberFormat="1" applyFont="1" applyAlignment="1" applyProtection="1">
      <alignment horizontal="center"/>
    </xf>
    <xf numFmtId="164" fontId="2" fillId="0" borderId="6" xfId="0" applyNumberFormat="1" applyFont="1" applyBorder="1" applyAlignment="1" applyProtection="1">
      <alignment horizontal="center"/>
    </xf>
    <xf numFmtId="164" fontId="2" fillId="0" borderId="29" xfId="0" applyNumberFormat="1" applyFont="1" applyBorder="1" applyAlignment="1" applyProtection="1">
      <alignment horizontal="center"/>
    </xf>
    <xf numFmtId="164" fontId="6" fillId="0" borderId="6" xfId="0" applyNumberFormat="1" applyFont="1" applyBorder="1" applyAlignment="1" applyProtection="1">
      <alignment horizontal="center"/>
    </xf>
    <xf numFmtId="0" fontId="6" fillId="0" borderId="1" xfId="0" applyFont="1" applyBorder="1" applyAlignment="1" applyProtection="1">
      <alignment horizontal="left"/>
    </xf>
    <xf numFmtId="4" fontId="16" fillId="2" borderId="0" xfId="0" applyNumberFormat="1" applyFont="1" applyFill="1" applyAlignment="1" applyProtection="1">
      <alignment horizontal="center"/>
    </xf>
    <xf numFmtId="0" fontId="3" fillId="0" borderId="21" xfId="0" applyFont="1" applyBorder="1" applyProtection="1"/>
    <xf numFmtId="1" fontId="16" fillId="2" borderId="28" xfId="0" applyNumberFormat="1" applyFont="1" applyFill="1" applyBorder="1" applyAlignment="1" applyProtection="1">
      <alignment horizontal="center"/>
    </xf>
    <xf numFmtId="164" fontId="1" fillId="0" borderId="0" xfId="0" applyNumberFormat="1" applyFont="1" applyProtection="1"/>
    <xf numFmtId="1" fontId="1" fillId="0" borderId="0" xfId="0" applyNumberFormat="1" applyFont="1" applyAlignment="1" applyProtection="1">
      <alignment horizontal="center"/>
    </xf>
    <xf numFmtId="0" fontId="1" fillId="0" borderId="6" xfId="0" applyFont="1" applyBorder="1" applyProtection="1"/>
    <xf numFmtId="0" fontId="6" fillId="0" borderId="1" xfId="0" applyFont="1" applyBorder="1" applyAlignment="1" applyProtection="1">
      <alignment horizontal="center"/>
    </xf>
    <xf numFmtId="1" fontId="3" fillId="0" borderId="0" xfId="0" applyNumberFormat="1" applyFont="1" applyAlignment="1" applyProtection="1">
      <alignment horizontal="center"/>
    </xf>
    <xf numFmtId="0" fontId="18" fillId="0" borderId="0" xfId="0" applyFont="1" applyAlignment="1" applyProtection="1">
      <alignment horizontal="center"/>
    </xf>
    <xf numFmtId="0" fontId="3" fillId="0" borderId="6" xfId="0" applyFont="1" applyBorder="1" applyAlignment="1" applyProtection="1">
      <alignment horizontal="center"/>
    </xf>
    <xf numFmtId="0" fontId="8" fillId="0" borderId="1" xfId="0" applyFont="1" applyBorder="1" applyAlignment="1" applyProtection="1">
      <alignment horizontal="left"/>
    </xf>
    <xf numFmtId="0" fontId="0" fillId="0" borderId="0" xfId="0" applyAlignment="1" applyProtection="1">
      <alignment horizontal="left"/>
    </xf>
    <xf numFmtId="0" fontId="0" fillId="0" borderId="32" xfId="0" applyBorder="1" applyAlignment="1" applyProtection="1">
      <alignment horizontal="left"/>
    </xf>
    <xf numFmtId="3" fontId="21" fillId="2" borderId="2" xfId="0" applyNumberFormat="1" applyFont="1" applyFill="1" applyBorder="1" applyAlignment="1" applyProtection="1">
      <alignment horizontal="center"/>
    </xf>
    <xf numFmtId="0" fontId="3" fillId="0" borderId="4" xfId="0" applyFont="1" applyBorder="1" applyProtection="1"/>
    <xf numFmtId="0" fontId="3" fillId="0" borderId="3" xfId="0" applyFont="1" applyBorder="1" applyProtection="1"/>
    <xf numFmtId="0" fontId="6" fillId="0" borderId="20" xfId="0" applyFont="1" applyBorder="1" applyProtection="1"/>
    <xf numFmtId="0" fontId="3" fillId="0" borderId="0" xfId="0" applyFont="1" applyAlignment="1" applyProtection="1">
      <alignment horizontal="left" wrapText="1"/>
    </xf>
    <xf numFmtId="0" fontId="5" fillId="0" borderId="0" xfId="1" applyFont="1" applyAlignment="1" applyProtection="1">
      <alignment horizontal="left"/>
    </xf>
    <xf numFmtId="0" fontId="4" fillId="0" borderId="0" xfId="1" applyFont="1" applyAlignment="1" applyProtection="1">
      <alignment horizontal="left"/>
    </xf>
    <xf numFmtId="0" fontId="7" fillId="0" borderId="0" xfId="1" applyFont="1" applyAlignment="1" applyProtection="1">
      <alignment horizontal="left"/>
    </xf>
    <xf numFmtId="0" fontId="8" fillId="0" borderId="0" xfId="1" applyFont="1" applyAlignment="1" applyProtection="1">
      <alignment horizontal="left"/>
    </xf>
    <xf numFmtId="0" fontId="9" fillId="0" borderId="0" xfId="1" applyFont="1" applyAlignment="1" applyProtection="1">
      <alignment horizontal="left"/>
    </xf>
    <xf numFmtId="0" fontId="15" fillId="0" borderId="6" xfId="1" applyBorder="1" applyProtection="1"/>
    <xf numFmtId="3" fontId="8" fillId="2" borderId="26" xfId="1" applyNumberFormat="1" applyFont="1" applyFill="1" applyBorder="1" applyAlignment="1" applyProtection="1">
      <alignment horizontal="right"/>
    </xf>
    <xf numFmtId="0" fontId="8" fillId="2" borderId="5" xfId="1" applyFont="1" applyFill="1" applyBorder="1" applyProtection="1"/>
    <xf numFmtId="0" fontId="8" fillId="3" borderId="26" xfId="1" applyFont="1" applyFill="1" applyBorder="1" applyAlignment="1" applyProtection="1">
      <alignment horizontal="left"/>
    </xf>
    <xf numFmtId="0" fontId="8" fillId="3" borderId="27" xfId="1" applyFont="1" applyFill="1" applyBorder="1" applyAlignment="1" applyProtection="1">
      <alignment horizontal="left"/>
    </xf>
    <xf numFmtId="0" fontId="8" fillId="3" borderId="5" xfId="1" applyFont="1" applyFill="1" applyBorder="1" applyAlignment="1" applyProtection="1">
      <alignment horizontal="left"/>
    </xf>
    <xf numFmtId="0" fontId="2" fillId="0" borderId="34" xfId="1" applyFont="1" applyBorder="1" applyAlignment="1" applyProtection="1">
      <alignment horizontal="center"/>
    </xf>
    <xf numFmtId="0" fontId="15" fillId="0" borderId="35" xfId="1" applyBorder="1" applyAlignment="1" applyProtection="1">
      <alignment horizontal="center"/>
    </xf>
    <xf numFmtId="0" fontId="15" fillId="0" borderId="36" xfId="1" applyBorder="1" applyAlignment="1" applyProtection="1">
      <alignment horizontal="center"/>
    </xf>
    <xf numFmtId="0" fontId="15" fillId="0" borderId="7" xfId="1" applyBorder="1" applyProtection="1"/>
    <xf numFmtId="0" fontId="15" fillId="0" borderId="8" xfId="1" applyBorder="1" applyAlignment="1" applyProtection="1">
      <alignment horizontal="center"/>
    </xf>
    <xf numFmtId="3" fontId="13" fillId="3" borderId="2" xfId="1" applyNumberFormat="1" applyFont="1" applyFill="1" applyBorder="1" applyProtection="1"/>
    <xf numFmtId="0" fontId="15" fillId="0" borderId="9" xfId="1" applyBorder="1" applyProtection="1"/>
    <xf numFmtId="0" fontId="15" fillId="0" borderId="8" xfId="1" applyBorder="1" applyProtection="1"/>
    <xf numFmtId="0" fontId="13" fillId="3" borderId="2" xfId="1" applyFont="1" applyFill="1" applyBorder="1" applyProtection="1"/>
    <xf numFmtId="1" fontId="2" fillId="8" borderId="2" xfId="1" applyNumberFormat="1" applyFont="1" applyFill="1" applyBorder="1" applyProtection="1"/>
    <xf numFmtId="0" fontId="1" fillId="0" borderId="7" xfId="1" applyFont="1" applyBorder="1" applyProtection="1"/>
    <xf numFmtId="0" fontId="15" fillId="0" borderId="7" xfId="1" applyBorder="1" applyAlignment="1" applyProtection="1">
      <alignment horizontal="left"/>
    </xf>
    <xf numFmtId="0" fontId="15" fillId="0" borderId="8" xfId="1" applyBorder="1" applyAlignment="1" applyProtection="1">
      <alignment horizontal="right"/>
    </xf>
    <xf numFmtId="0" fontId="15" fillId="0" borderId="7" xfId="1" applyBorder="1" applyAlignment="1" applyProtection="1">
      <alignment horizontal="right"/>
    </xf>
    <xf numFmtId="0" fontId="15" fillId="0" borderId="8" xfId="1" applyBorder="1" applyAlignment="1" applyProtection="1">
      <alignment horizontal="right"/>
    </xf>
    <xf numFmtId="0" fontId="2" fillId="0" borderId="7" xfId="1" applyFont="1" applyBorder="1" applyAlignment="1" applyProtection="1">
      <alignment horizontal="center"/>
    </xf>
    <xf numFmtId="0" fontId="15" fillId="0" borderId="8" xfId="1" applyBorder="1" applyAlignment="1" applyProtection="1">
      <alignment horizontal="center"/>
    </xf>
    <xf numFmtId="0" fontId="15" fillId="0" borderId="33" xfId="1" applyBorder="1" applyAlignment="1" applyProtection="1">
      <alignment horizontal="center"/>
    </xf>
    <xf numFmtId="3" fontId="13" fillId="8" borderId="2" xfId="1" applyNumberFormat="1" applyFont="1" applyFill="1" applyBorder="1" applyProtection="1"/>
    <xf numFmtId="3" fontId="2" fillId="8" borderId="2" xfId="1" applyNumberFormat="1" applyFont="1" applyFill="1" applyBorder="1" applyProtection="1"/>
    <xf numFmtId="0" fontId="15" fillId="0" borderId="10" xfId="1" applyBorder="1" applyProtection="1"/>
    <xf numFmtId="0" fontId="1" fillId="0" borderId="2" xfId="1" applyFont="1" applyBorder="1" applyProtection="1"/>
    <xf numFmtId="0" fontId="15" fillId="0" borderId="11" xfId="1" applyBorder="1" applyProtection="1"/>
    <xf numFmtId="0" fontId="15" fillId="0" borderId="12" xfId="1" applyBorder="1" applyProtection="1"/>
    <xf numFmtId="0" fontId="15" fillId="0" borderId="13" xfId="1" applyBorder="1" applyProtection="1"/>
    <xf numFmtId="0" fontId="1" fillId="0" borderId="7" xfId="1" applyFont="1" applyBorder="1" applyAlignment="1" applyProtection="1">
      <alignment horizontal="left"/>
    </xf>
    <xf numFmtId="0" fontId="15" fillId="0" borderId="25" xfId="1" applyBorder="1" applyAlignment="1" applyProtection="1">
      <alignment horizontal="left"/>
    </xf>
    <xf numFmtId="0" fontId="15" fillId="0" borderId="38" xfId="1" applyBorder="1" applyProtection="1"/>
    <xf numFmtId="0" fontId="13" fillId="3" borderId="14" xfId="1" applyFont="1" applyFill="1" applyBorder="1" applyProtection="1"/>
    <xf numFmtId="0" fontId="15" fillId="0" borderId="15" xfId="1" applyBorder="1" applyProtection="1"/>
    <xf numFmtId="0" fontId="15" fillId="0" borderId="6" xfId="1" applyBorder="1" applyProtection="1"/>
    <xf numFmtId="0" fontId="1" fillId="0" borderId="16" xfId="1" applyFont="1" applyBorder="1" applyAlignment="1" applyProtection="1">
      <alignment horizontal="left"/>
    </xf>
    <xf numFmtId="0" fontId="15" fillId="0" borderId="17" xfId="1" applyBorder="1" applyAlignment="1" applyProtection="1">
      <alignment horizontal="right"/>
    </xf>
    <xf numFmtId="0" fontId="1" fillId="0" borderId="17" xfId="1" applyFont="1" applyBorder="1" applyProtection="1"/>
    <xf numFmtId="0" fontId="1" fillId="0" borderId="16" xfId="1" applyFont="1" applyBorder="1" applyAlignment="1" applyProtection="1">
      <alignment horizontal="left"/>
    </xf>
    <xf numFmtId="0" fontId="15" fillId="0" borderId="37" xfId="1" applyBorder="1" applyProtection="1"/>
    <xf numFmtId="0" fontId="15" fillId="0" borderId="18" xfId="1" applyBorder="1" applyProtection="1"/>
    <xf numFmtId="0" fontId="15" fillId="0" borderId="19" xfId="1" applyBorder="1" applyProtection="1"/>
    <xf numFmtId="0" fontId="15" fillId="0" borderId="3" xfId="1" applyBorder="1" applyProtection="1"/>
    <xf numFmtId="0" fontId="15" fillId="0" borderId="20" xfId="1" applyBorder="1" applyProtection="1"/>
    <xf numFmtId="0" fontId="15" fillId="0" borderId="0" xfId="1" applyAlignment="1" applyProtection="1">
      <alignment horizontal="center"/>
    </xf>
    <xf numFmtId="0" fontId="8" fillId="3" borderId="34" xfId="1" applyFont="1" applyFill="1" applyBorder="1" applyAlignment="1" applyProtection="1">
      <alignment horizontal="left"/>
    </xf>
    <xf numFmtId="0" fontId="9" fillId="3" borderId="35" xfId="1" applyFont="1" applyFill="1" applyBorder="1" applyAlignment="1" applyProtection="1">
      <alignment horizontal="left"/>
    </xf>
    <xf numFmtId="0" fontId="9" fillId="3" borderId="36" xfId="1" applyFont="1" applyFill="1" applyBorder="1" applyAlignment="1" applyProtection="1">
      <alignment horizontal="left"/>
    </xf>
    <xf numFmtId="0" fontId="6" fillId="0" borderId="21" xfId="1" applyFont="1" applyBorder="1" applyAlignment="1" applyProtection="1">
      <alignment horizontal="left"/>
    </xf>
    <xf numFmtId="0" fontId="6" fillId="0" borderId="22" xfId="1" applyFont="1" applyBorder="1" applyAlignment="1" applyProtection="1">
      <alignment horizontal="left"/>
    </xf>
    <xf numFmtId="0" fontId="6" fillId="0" borderId="0" xfId="1" applyFont="1" applyAlignment="1" applyProtection="1">
      <alignment horizontal="left"/>
    </xf>
    <xf numFmtId="0" fontId="2" fillId="0" borderId="30" xfId="1" applyFont="1" applyBorder="1" applyAlignment="1" applyProtection="1">
      <alignment horizontal="left" wrapText="1"/>
    </xf>
    <xf numFmtId="0" fontId="15" fillId="0" borderId="28" xfId="1" applyBorder="1" applyAlignment="1" applyProtection="1">
      <alignment horizontal="left"/>
    </xf>
    <xf numFmtId="0" fontId="15" fillId="0" borderId="0" xfId="1" applyAlignment="1" applyProtection="1">
      <alignment horizontal="left"/>
    </xf>
    <xf numFmtId="0" fontId="15" fillId="0" borderId="6" xfId="1" applyBorder="1" applyAlignment="1" applyProtection="1">
      <alignment horizontal="left"/>
    </xf>
    <xf numFmtId="0" fontId="15" fillId="0" borderId="23" xfId="1" applyBorder="1" applyProtection="1"/>
    <xf numFmtId="3" fontId="2" fillId="5" borderId="2" xfId="1" applyNumberFormat="1" applyFont="1" applyFill="1" applyBorder="1" applyProtection="1"/>
    <xf numFmtId="0" fontId="15" fillId="0" borderId="15" xfId="1" applyBorder="1" applyProtection="1"/>
    <xf numFmtId="0" fontId="15" fillId="0" borderId="0" xfId="1" applyProtection="1"/>
    <xf numFmtId="0" fontId="15" fillId="0" borderId="32" xfId="1" applyBorder="1" applyProtection="1"/>
    <xf numFmtId="3" fontId="13" fillId="3" borderId="24" xfId="1" applyNumberFormat="1" applyFont="1" applyFill="1" applyBorder="1" applyProtection="1"/>
    <xf numFmtId="2" fontId="2" fillId="8" borderId="2" xfId="1" applyNumberFormat="1" applyFont="1" applyFill="1" applyBorder="1" applyProtection="1"/>
    <xf numFmtId="0" fontId="15" fillId="0" borderId="25" xfId="1" applyBorder="1" applyProtection="1"/>
    <xf numFmtId="0" fontId="15" fillId="0" borderId="1" xfId="1" applyBorder="1" applyProtection="1"/>
    <xf numFmtId="1" fontId="2" fillId="8" borderId="14" xfId="1" applyNumberFormat="1" applyFont="1" applyFill="1" applyBorder="1" applyProtection="1"/>
    <xf numFmtId="0" fontId="15" fillId="0" borderId="4" xfId="1" applyBorder="1" applyProtection="1"/>
    <xf numFmtId="0" fontId="15" fillId="0" borderId="19" xfId="1" applyBorder="1" applyProtection="1"/>
    <xf numFmtId="0" fontId="15" fillId="0" borderId="3" xfId="1" applyBorder="1" applyProtection="1"/>
    <xf numFmtId="0" fontId="15" fillId="0" borderId="39" xfId="1" applyBorder="1" applyProtection="1"/>
    <xf numFmtId="1" fontId="2" fillId="5" borderId="18" xfId="1" applyNumberFormat="1" applyFont="1" applyFill="1" applyBorder="1" applyProtection="1"/>
    <xf numFmtId="0" fontId="8" fillId="0" borderId="1" xfId="1" applyFont="1" applyBorder="1" applyProtection="1"/>
    <xf numFmtId="0" fontId="1" fillId="0" borderId="0" xfId="1" applyFont="1" applyAlignment="1" applyProtection="1">
      <alignment horizontal="center"/>
    </xf>
    <xf numFmtId="3" fontId="2" fillId="0" borderId="0" xfId="1" applyNumberFormat="1" applyFont="1" applyAlignment="1" applyProtection="1">
      <alignment horizontal="center"/>
    </xf>
    <xf numFmtId="0" fontId="1" fillId="0" borderId="1" xfId="1" applyFont="1" applyBorder="1" applyProtection="1"/>
    <xf numFmtId="166" fontId="15" fillId="0" borderId="0" xfId="1" applyNumberFormat="1" applyAlignment="1" applyProtection="1">
      <alignment horizontal="center"/>
    </xf>
    <xf numFmtId="0" fontId="1" fillId="0" borderId="0" xfId="1" applyFont="1" applyProtection="1"/>
    <xf numFmtId="2" fontId="15" fillId="0" borderId="0" xfId="1" applyNumberFormat="1" applyAlignment="1" applyProtection="1">
      <alignment horizontal="center"/>
    </xf>
    <xf numFmtId="165" fontId="15" fillId="0" borderId="0" xfId="1" applyNumberFormat="1" applyAlignment="1" applyProtection="1">
      <alignment horizontal="center"/>
    </xf>
    <xf numFmtId="0" fontId="2" fillId="0" borderId="0" xfId="1" applyFont="1" applyProtection="1"/>
    <xf numFmtId="0" fontId="15" fillId="0" borderId="0" xfId="1" applyAlignment="1" applyProtection="1">
      <alignment horizontal="left" vertical="justify" wrapText="1"/>
    </xf>
    <xf numFmtId="0" fontId="1" fillId="0" borderId="0" xfId="1" applyFont="1" applyAlignment="1" applyProtection="1">
      <alignment horizontal="left" vertical="justify"/>
    </xf>
    <xf numFmtId="0" fontId="15" fillId="0" borderId="0" xfId="1" applyAlignment="1" applyProtection="1">
      <alignment horizontal="left" vertical="justify"/>
    </xf>
    <xf numFmtId="0" fontId="15" fillId="0" borderId="0" xfId="1" applyAlignment="1" applyProtection="1">
      <alignment horizontal="left" vertical="top" wrapText="1"/>
    </xf>
    <xf numFmtId="0" fontId="1" fillId="0" borderId="0" xfId="0" applyFont="1" applyAlignment="1" applyProtection="1">
      <alignment wrapText="1"/>
    </xf>
    <xf numFmtId="0" fontId="1" fillId="9" borderId="0" xfId="0" applyFont="1" applyFill="1" applyAlignment="1" applyProtection="1">
      <alignment wrapText="1"/>
    </xf>
    <xf numFmtId="0" fontId="1" fillId="9" borderId="0" xfId="0" applyFont="1" applyFill="1" applyAlignment="1" applyProtection="1">
      <alignment horizontal="left"/>
    </xf>
    <xf numFmtId="0" fontId="1" fillId="9" borderId="0" xfId="0" applyFont="1" applyFill="1" applyProtection="1"/>
    <xf numFmtId="0" fontId="2" fillId="11" borderId="0" xfId="0" applyFont="1" applyFill="1" applyAlignment="1" applyProtection="1">
      <alignment horizontal="left"/>
    </xf>
    <xf numFmtId="0" fontId="2" fillId="9" borderId="0" xfId="0" applyFont="1" applyFill="1" applyAlignment="1" applyProtection="1">
      <alignment horizontal="left"/>
    </xf>
    <xf numFmtId="0" fontId="2" fillId="11" borderId="41" xfId="0" applyFont="1" applyFill="1" applyBorder="1" applyAlignment="1" applyProtection="1">
      <alignment horizontal="left"/>
    </xf>
    <xf numFmtId="0" fontId="2" fillId="11" borderId="42" xfId="0" applyFont="1" applyFill="1" applyBorder="1" applyAlignment="1" applyProtection="1">
      <alignment horizontal="left"/>
    </xf>
    <xf numFmtId="0" fontId="1" fillId="11" borderId="43" xfId="0" applyFont="1" applyFill="1" applyBorder="1" applyProtection="1"/>
    <xf numFmtId="0" fontId="1" fillId="7" borderId="0" xfId="0" applyFont="1" applyFill="1" applyProtection="1"/>
    <xf numFmtId="0" fontId="1" fillId="7" borderId="0" xfId="0" applyFont="1" applyFill="1" applyAlignment="1" applyProtection="1">
      <alignment wrapText="1"/>
    </xf>
    <xf numFmtId="0" fontId="2" fillId="0" borderId="11" xfId="0" applyFont="1" applyBorder="1" applyAlignment="1" applyProtection="1">
      <alignment horizontal="left" wrapText="1"/>
    </xf>
    <xf numFmtId="0" fontId="2" fillId="0" borderId="12" xfId="0" applyFont="1" applyBorder="1" applyAlignment="1" applyProtection="1">
      <alignment horizontal="left" wrapText="1"/>
    </xf>
    <xf numFmtId="0" fontId="2" fillId="0" borderId="38" xfId="0" applyFont="1" applyBorder="1" applyAlignment="1" applyProtection="1">
      <alignment horizontal="left" wrapText="1"/>
    </xf>
    <xf numFmtId="0" fontId="2" fillId="0" borderId="15" xfId="0" applyFont="1" applyBorder="1" applyAlignment="1" applyProtection="1">
      <alignment horizontal="left"/>
    </xf>
    <xf numFmtId="0" fontId="2" fillId="0" borderId="32" xfId="0" applyFont="1" applyBorder="1" applyAlignment="1" applyProtection="1">
      <alignment horizontal="center"/>
    </xf>
    <xf numFmtId="0" fontId="1" fillId="0" borderId="15" xfId="0" applyFont="1" applyBorder="1" applyAlignment="1" applyProtection="1">
      <alignment horizontal="left"/>
    </xf>
    <xf numFmtId="0" fontId="30" fillId="12" borderId="24" xfId="0" applyFont="1" applyFill="1" applyBorder="1" applyProtection="1"/>
    <xf numFmtId="0" fontId="2" fillId="9" borderId="0" xfId="0" applyFont="1" applyFill="1" applyAlignment="1" applyProtection="1">
      <alignment horizontal="left" wrapText="1"/>
    </xf>
    <xf numFmtId="0" fontId="2" fillId="0" borderId="15" xfId="0" applyFont="1" applyBorder="1" applyAlignment="1" applyProtection="1">
      <alignment horizontal="left" wrapText="1"/>
    </xf>
    <xf numFmtId="0" fontId="2" fillId="0" borderId="0" xfId="0" applyFont="1" applyAlignment="1" applyProtection="1">
      <alignment horizontal="left" wrapText="1"/>
    </xf>
    <xf numFmtId="0" fontId="2" fillId="0" borderId="32" xfId="0" applyFont="1" applyBorder="1" applyAlignment="1" applyProtection="1">
      <alignment horizontal="left" wrapText="1"/>
    </xf>
    <xf numFmtId="0" fontId="2" fillId="0" borderId="0" xfId="0" applyFont="1" applyProtection="1"/>
    <xf numFmtId="0" fontId="2" fillId="7" borderId="0" xfId="0" applyFont="1" applyFill="1" applyProtection="1"/>
    <xf numFmtId="0" fontId="2" fillId="0" borderId="15" xfId="0" applyFont="1" applyBorder="1" applyAlignment="1" applyProtection="1">
      <alignment horizontal="left"/>
    </xf>
    <xf numFmtId="0" fontId="2" fillId="0" borderId="0" xfId="0" applyFont="1" applyAlignment="1" applyProtection="1">
      <alignment horizontal="left"/>
    </xf>
    <xf numFmtId="0" fontId="30" fillId="12" borderId="2" xfId="0" applyFont="1" applyFill="1" applyBorder="1" applyProtection="1"/>
    <xf numFmtId="0" fontId="1" fillId="0" borderId="32" xfId="0" applyFont="1" applyBorder="1" applyProtection="1"/>
    <xf numFmtId="0" fontId="29" fillId="0" borderId="32" xfId="0" applyFont="1" applyBorder="1" applyProtection="1"/>
    <xf numFmtId="0" fontId="2" fillId="7" borderId="0" xfId="0" applyFont="1" applyFill="1" applyAlignment="1" applyProtection="1">
      <alignment wrapText="1"/>
    </xf>
    <xf numFmtId="0" fontId="2" fillId="9" borderId="0" xfId="0" applyFont="1" applyFill="1" applyAlignment="1" applyProtection="1">
      <alignment wrapText="1"/>
    </xf>
    <xf numFmtId="1" fontId="30" fillId="12" borderId="2" xfId="0" applyNumberFormat="1" applyFont="1" applyFill="1" applyBorder="1" applyProtection="1"/>
    <xf numFmtId="0" fontId="1" fillId="0" borderId="30" xfId="0" applyFont="1" applyBorder="1" applyAlignment="1" applyProtection="1">
      <alignment horizontal="left"/>
    </xf>
    <xf numFmtId="0" fontId="2" fillId="11" borderId="1" xfId="0" applyFont="1" applyFill="1" applyBorder="1" applyAlignment="1" applyProtection="1">
      <alignment horizontal="left"/>
    </xf>
    <xf numFmtId="0" fontId="1" fillId="11" borderId="6" xfId="0" applyFont="1" applyFill="1" applyBorder="1" applyProtection="1"/>
    <xf numFmtId="0" fontId="2" fillId="0" borderId="1" xfId="0" applyFont="1" applyBorder="1" applyAlignment="1" applyProtection="1">
      <alignment horizontal="left"/>
    </xf>
    <xf numFmtId="0" fontId="2" fillId="0" borderId="1" xfId="0" applyFont="1" applyBorder="1" applyAlignment="1" applyProtection="1">
      <alignment horizontal="left"/>
    </xf>
    <xf numFmtId="0" fontId="1" fillId="0" borderId="1" xfId="0" applyFont="1" applyBorder="1" applyAlignment="1" applyProtection="1">
      <alignment horizontal="left"/>
    </xf>
    <xf numFmtId="0" fontId="29" fillId="0" borderId="6" xfId="0" applyFont="1" applyBorder="1" applyProtection="1"/>
    <xf numFmtId="1" fontId="30" fillId="12" borderId="14" xfId="0" applyNumberFormat="1" applyFont="1" applyFill="1" applyBorder="1" applyProtection="1"/>
    <xf numFmtId="3" fontId="30" fillId="12" borderId="47" xfId="0" applyNumberFormat="1" applyFont="1" applyFill="1" applyBorder="1" applyProtection="1"/>
    <xf numFmtId="3" fontId="30" fillId="12" borderId="24" xfId="0" applyNumberFormat="1" applyFont="1" applyFill="1" applyBorder="1" applyProtection="1"/>
    <xf numFmtId="0" fontId="1" fillId="0" borderId="4" xfId="0" applyFont="1" applyBorder="1" applyAlignment="1" applyProtection="1">
      <alignment horizontal="left"/>
    </xf>
    <xf numFmtId="0" fontId="1" fillId="0" borderId="3" xfId="0" applyFont="1" applyBorder="1" applyProtection="1"/>
    <xf numFmtId="0" fontId="1" fillId="0" borderId="20" xfId="0" applyFont="1" applyBorder="1" applyProtection="1"/>
    <xf numFmtId="0" fontId="2" fillId="11" borderId="43" xfId="0" applyFont="1" applyFill="1" applyBorder="1" applyAlignment="1" applyProtection="1">
      <alignment horizontal="left"/>
    </xf>
    <xf numFmtId="1" fontId="30" fillId="12" borderId="3" xfId="0" applyNumberFormat="1" applyFont="1" applyFill="1" applyBorder="1" applyProtection="1"/>
    <xf numFmtId="0" fontId="2" fillId="0" borderId="20" xfId="0" applyFont="1" applyBorder="1" applyAlignment="1" applyProtection="1">
      <alignment horizontal="center"/>
    </xf>
  </cellXfs>
  <cellStyles count="2">
    <cellStyle name="Normal" xfId="0" builtinId="0"/>
    <cellStyle name="Normal_Ashby nutrient balance (725L) 160604ab" xfId="1" xr:uid="{00000000-0005-0000-0000-000001000000}"/>
  </cellStyles>
  <dxfs count="45">
    <dxf>
      <protection locked="1" hidden="0"/>
    </dxf>
    <dxf>
      <protection locked="1" hidden="0"/>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4" formatCode="0.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4" formatCode="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border diagonalUp="0" diagonalDown="0">
        <left/>
        <right/>
        <top style="thin">
          <color indexed="64"/>
        </top>
        <bottom style="thin">
          <color indexed="64"/>
        </bottom>
        <vertical/>
        <horizontal/>
      </border>
      <protection locked="1" hidden="0"/>
    </dxf>
    <dxf>
      <protection locked="1" hidden="0"/>
    </dxf>
    <dxf>
      <protection locked="1" hidden="0"/>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border diagonalUp="0" diagonalDown="0">
        <left/>
        <right/>
        <top style="thin">
          <color indexed="64"/>
        </top>
        <bottom style="thin">
          <color indexed="64"/>
        </bottom>
        <vertical/>
        <horizontal/>
      </border>
      <protection locked="1" hidden="0"/>
    </dxf>
    <dxf>
      <protection locked="1" hidden="0"/>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border diagonalUp="0" diagonalDown="0">
        <left/>
        <right style="thin">
          <color indexed="64"/>
        </right>
        <top style="thin">
          <color indexed="64"/>
        </top>
        <bottom style="thin">
          <color indexed="64"/>
        </bottom>
        <vertical/>
        <horizontal/>
      </border>
      <protection locked="1" hidden="0"/>
    </dxf>
    <dxf>
      <protection locked="1" hidden="0"/>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protection locked="1" hidden="0"/>
    </dxf>
    <dxf>
      <font>
        <b val="0"/>
        <i val="0"/>
        <strike val="0"/>
        <condense val="0"/>
        <extend val="0"/>
        <outline val="0"/>
        <shadow val="0"/>
        <u val="none"/>
        <vertAlign val="baseline"/>
        <sz val="12"/>
        <color auto="1"/>
        <name val="Arial"/>
        <family val="2"/>
        <scheme val="none"/>
      </font>
      <protection locked="1" hidden="0"/>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rial"/>
        <family val="2"/>
        <scheme val="none"/>
      </font>
      <numFmt numFmtId="164" formatCode="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rial"/>
        <family val="2"/>
        <scheme val="none"/>
      </font>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rial"/>
        <family val="2"/>
        <scheme val="none"/>
      </font>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'Water Balance'!$A$16</c:f>
              <c:strCache>
                <c:ptCount val="1"/>
                <c:pt idx="0">
                  <c:v>Rainfall</c:v>
                </c:pt>
              </c:strCache>
            </c:strRef>
          </c:tx>
          <c:marker>
            <c:symbol val="none"/>
          </c:marker>
          <c:cat>
            <c:strRef>
              <c:f>'Water Balance'!$E$14:$P$14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'Water Balance'!$E$16:$P$16</c:f>
              <c:numCache>
                <c:formatCode>0.0</c:formatCode>
                <c:ptCount val="12"/>
                <c:pt idx="0">
                  <c:v>117.5</c:v>
                </c:pt>
                <c:pt idx="1">
                  <c:v>116.2</c:v>
                </c:pt>
                <c:pt idx="2">
                  <c:v>134.9</c:v>
                </c:pt>
                <c:pt idx="3">
                  <c:v>134.19999999999999</c:v>
                </c:pt>
                <c:pt idx="4">
                  <c:v>157.69999999999999</c:v>
                </c:pt>
                <c:pt idx="5">
                  <c:v>173.1</c:v>
                </c:pt>
                <c:pt idx="6">
                  <c:v>141</c:v>
                </c:pt>
                <c:pt idx="7">
                  <c:v>107.7</c:v>
                </c:pt>
                <c:pt idx="8">
                  <c:v>110.7</c:v>
                </c:pt>
                <c:pt idx="9">
                  <c:v>106.1</c:v>
                </c:pt>
                <c:pt idx="10">
                  <c:v>110.3</c:v>
                </c:pt>
                <c:pt idx="11">
                  <c:v>102.4</c:v>
                </c:pt>
              </c:numCache>
            </c:numRef>
          </c:val>
          <c:smooth val="0"/>
          <c:extLst>
            <c:ext xmlns:c16="http://schemas.microsoft.com/office/drawing/2014/chart" uri="{C3380CC4-5D6E-409C-BE32-E72D297353CC}">
              <c16:uniqueId val="{00000000-1506-4C5F-9902-9929FC2F750B}"/>
            </c:ext>
          </c:extLst>
        </c:ser>
        <c:ser>
          <c:idx val="1"/>
          <c:order val="1"/>
          <c:tx>
            <c:strRef>
              <c:f>'Water Balance'!$A$17</c:f>
              <c:strCache>
                <c:ptCount val="1"/>
                <c:pt idx="0">
                  <c:v>Evaporation</c:v>
                </c:pt>
              </c:strCache>
            </c:strRef>
          </c:tx>
          <c:marker>
            <c:symbol val="none"/>
          </c:marker>
          <c:cat>
            <c:strRef>
              <c:f>'Water Balance'!$E$14:$P$14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'Water Balance'!$E$17:$P$17</c:f>
              <c:numCache>
                <c:formatCode>General</c:formatCode>
                <c:ptCount val="12"/>
                <c:pt idx="0">
                  <c:v>167.4</c:v>
                </c:pt>
                <c:pt idx="1">
                  <c:v>148.4</c:v>
                </c:pt>
                <c:pt idx="2">
                  <c:v>151.9</c:v>
                </c:pt>
                <c:pt idx="3">
                  <c:v>120</c:v>
                </c:pt>
                <c:pt idx="4">
                  <c:v>102.3</c:v>
                </c:pt>
                <c:pt idx="5">
                  <c:v>90</c:v>
                </c:pt>
                <c:pt idx="6">
                  <c:v>93</c:v>
                </c:pt>
                <c:pt idx="7">
                  <c:v>105.39999999999999</c:v>
                </c:pt>
                <c:pt idx="8">
                  <c:v>117</c:v>
                </c:pt>
                <c:pt idx="9">
                  <c:v>139.5</c:v>
                </c:pt>
                <c:pt idx="10">
                  <c:v>153</c:v>
                </c:pt>
                <c:pt idx="11">
                  <c:v>170.5</c:v>
                </c:pt>
              </c:numCache>
            </c:numRef>
          </c:val>
          <c:smooth val="0"/>
          <c:extLst>
            <c:ext xmlns:c16="http://schemas.microsoft.com/office/drawing/2014/chart" uri="{C3380CC4-5D6E-409C-BE32-E72D297353CC}">
              <c16:uniqueId val="{00000001-1506-4C5F-9902-9929FC2F750B}"/>
            </c:ext>
          </c:extLst>
        </c:ser>
        <c:dLbls>
          <c:showLegendKey val="0"/>
          <c:showVal val="0"/>
          <c:showCatName val="0"/>
          <c:showSerName val="0"/>
          <c:showPercent val="0"/>
          <c:showBubbleSize val="0"/>
        </c:dLbls>
        <c:smooth val="0"/>
        <c:axId val="203892792"/>
        <c:axId val="204884344"/>
      </c:lineChart>
      <c:catAx>
        <c:axId val="203892792"/>
        <c:scaling>
          <c:orientation val="minMax"/>
        </c:scaling>
        <c:delete val="0"/>
        <c:axPos val="b"/>
        <c:numFmt formatCode="General" sourceLinked="1"/>
        <c:majorTickMark val="out"/>
        <c:minorTickMark val="none"/>
        <c:tickLblPos val="nextTo"/>
        <c:txPr>
          <a:bodyPr rot="0" vert="horz"/>
          <a:lstStyle/>
          <a:p>
            <a:pPr>
              <a:defRPr lang="en-US" sz="1000" b="0" i="0" u="none" strike="noStrike" baseline="0">
                <a:solidFill>
                  <a:srgbClr val="000000"/>
                </a:solidFill>
                <a:latin typeface="Calibri"/>
                <a:ea typeface="Calibri"/>
                <a:cs typeface="Calibri"/>
              </a:defRPr>
            </a:pPr>
            <a:endParaRPr lang="en-US"/>
          </a:p>
        </c:txPr>
        <c:crossAx val="204884344"/>
        <c:crosses val="autoZero"/>
        <c:auto val="1"/>
        <c:lblAlgn val="ctr"/>
        <c:lblOffset val="100"/>
        <c:noMultiLvlLbl val="0"/>
      </c:catAx>
      <c:valAx>
        <c:axId val="204884344"/>
        <c:scaling>
          <c:orientation val="minMax"/>
        </c:scaling>
        <c:delete val="0"/>
        <c:axPos val="l"/>
        <c:majorGridlines/>
        <c:numFmt formatCode="0.0" sourceLinked="1"/>
        <c:majorTickMark val="out"/>
        <c:minorTickMark val="none"/>
        <c:tickLblPos val="nextTo"/>
        <c:txPr>
          <a:bodyPr rot="0" vert="horz"/>
          <a:lstStyle/>
          <a:p>
            <a:pPr>
              <a:defRPr lang="en-US" sz="1000" b="0" i="0" u="none" strike="noStrike" baseline="0">
                <a:solidFill>
                  <a:srgbClr val="000000"/>
                </a:solidFill>
                <a:latin typeface="Calibri"/>
                <a:ea typeface="Calibri"/>
                <a:cs typeface="Calibri"/>
              </a:defRPr>
            </a:pPr>
            <a:endParaRPr lang="en-US"/>
          </a:p>
        </c:txPr>
        <c:crossAx val="203892792"/>
        <c:crosses val="autoZero"/>
        <c:crossBetween val="between"/>
      </c:valAx>
    </c:plotArea>
    <c:legend>
      <c:legendPos val="r"/>
      <c:layout>
        <c:manualLayout>
          <c:xMode val="edge"/>
          <c:yMode val="edge"/>
          <c:x val="0.76652979327997406"/>
          <c:y val="0.41258814676137506"/>
          <c:w val="0.21694236567536573"/>
          <c:h val="0.16783216783216828"/>
        </c:manualLayout>
      </c:layout>
      <c:overlay val="0"/>
      <c:txPr>
        <a:bodyPr/>
        <a:lstStyle/>
        <a:p>
          <a:pPr>
            <a:defRPr lang="en-US"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bom.gov.au/climate/averages/climatology/raindays/IDCJCM0003_daysofrain.shtml"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18</xdr:col>
      <xdr:colOff>28574</xdr:colOff>
      <xdr:row>12</xdr:row>
      <xdr:rowOff>200026</xdr:rowOff>
    </xdr:from>
    <xdr:to>
      <xdr:col>25</xdr:col>
      <xdr:colOff>0</xdr:colOff>
      <xdr:row>27</xdr:row>
      <xdr:rowOff>163285</xdr:rowOff>
    </xdr:to>
    <xdr:graphicFrame macro="">
      <xdr:nvGraphicFramePr>
        <xdr:cNvPr id="19891" name="Chart 1">
          <a:extLst>
            <a:ext uri="{FF2B5EF4-FFF2-40B4-BE49-F238E27FC236}">
              <a16:creationId xmlns:a16="http://schemas.microsoft.com/office/drawing/2014/main" id="{00000000-0008-0000-0000-0000B34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0</xdr:colOff>
      <xdr:row>37</xdr:row>
      <xdr:rowOff>0</xdr:rowOff>
    </xdr:from>
    <xdr:to>
      <xdr:col>20</xdr:col>
      <xdr:colOff>180975</xdr:colOff>
      <xdr:row>37</xdr:row>
      <xdr:rowOff>161925</xdr:rowOff>
    </xdr:to>
    <xdr:pic>
      <xdr:nvPicPr>
        <xdr:cNvPr id="19895" name="Picture 17" descr="Climatology Map">
          <a:hlinkClick xmlns:r="http://schemas.openxmlformats.org/officeDocument/2006/relationships" r:id="rId2"/>
          <a:extLst>
            <a:ext uri="{FF2B5EF4-FFF2-40B4-BE49-F238E27FC236}">
              <a16:creationId xmlns:a16="http://schemas.microsoft.com/office/drawing/2014/main" id="{00000000-0008-0000-0000-0000B74D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16275" y="8801100"/>
          <a:ext cx="1809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180975</xdr:colOff>
      <xdr:row>37</xdr:row>
      <xdr:rowOff>161925</xdr:rowOff>
    </xdr:to>
    <xdr:pic>
      <xdr:nvPicPr>
        <xdr:cNvPr id="19897" name="Picture 19" descr="Climatology Map">
          <a:hlinkClick xmlns:r="http://schemas.openxmlformats.org/officeDocument/2006/relationships" r:id="rId2"/>
          <a:extLst>
            <a:ext uri="{FF2B5EF4-FFF2-40B4-BE49-F238E27FC236}">
              <a16:creationId xmlns:a16="http://schemas.microsoft.com/office/drawing/2014/main" id="{00000000-0008-0000-0000-0000B94D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16275" y="9258300"/>
          <a:ext cx="1809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27</xdr:row>
      <xdr:rowOff>85725</xdr:rowOff>
    </xdr:from>
    <xdr:to>
      <xdr:col>4</xdr:col>
      <xdr:colOff>0</xdr:colOff>
      <xdr:row>27</xdr:row>
      <xdr:rowOff>85725</xdr:rowOff>
    </xdr:to>
    <xdr:sp macro="" textlink="">
      <xdr:nvSpPr>
        <xdr:cNvPr id="11710" name="Line 1">
          <a:extLst>
            <a:ext uri="{FF2B5EF4-FFF2-40B4-BE49-F238E27FC236}">
              <a16:creationId xmlns:a16="http://schemas.microsoft.com/office/drawing/2014/main" id="{00000000-0008-0000-0100-0000BE2D0000}"/>
            </a:ext>
          </a:extLst>
        </xdr:cNvPr>
        <xdr:cNvSpPr>
          <a:spLocks noChangeShapeType="1"/>
        </xdr:cNvSpPr>
      </xdr:nvSpPr>
      <xdr:spPr bwMode="auto">
        <a:xfrm>
          <a:off x="3952875" y="6153150"/>
          <a:ext cx="7905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26</xdr:row>
      <xdr:rowOff>85725</xdr:rowOff>
    </xdr:from>
    <xdr:to>
      <xdr:col>4</xdr:col>
      <xdr:colOff>0</xdr:colOff>
      <xdr:row>26</xdr:row>
      <xdr:rowOff>85725</xdr:rowOff>
    </xdr:to>
    <xdr:sp macro="" textlink="">
      <xdr:nvSpPr>
        <xdr:cNvPr id="11711" name="Line 2">
          <a:extLst>
            <a:ext uri="{FF2B5EF4-FFF2-40B4-BE49-F238E27FC236}">
              <a16:creationId xmlns:a16="http://schemas.microsoft.com/office/drawing/2014/main" id="{00000000-0008-0000-0100-0000BF2D0000}"/>
            </a:ext>
          </a:extLst>
        </xdr:cNvPr>
        <xdr:cNvSpPr>
          <a:spLocks noChangeShapeType="1"/>
        </xdr:cNvSpPr>
      </xdr:nvSpPr>
      <xdr:spPr bwMode="auto">
        <a:xfrm>
          <a:off x="3952875" y="5991225"/>
          <a:ext cx="7905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29</xdr:row>
      <xdr:rowOff>85725</xdr:rowOff>
    </xdr:from>
    <xdr:to>
      <xdr:col>4</xdr:col>
      <xdr:colOff>0</xdr:colOff>
      <xdr:row>29</xdr:row>
      <xdr:rowOff>85725</xdr:rowOff>
    </xdr:to>
    <xdr:sp macro="" textlink="">
      <xdr:nvSpPr>
        <xdr:cNvPr id="11712" name="Line 3">
          <a:extLst>
            <a:ext uri="{FF2B5EF4-FFF2-40B4-BE49-F238E27FC236}">
              <a16:creationId xmlns:a16="http://schemas.microsoft.com/office/drawing/2014/main" id="{00000000-0008-0000-0100-0000C02D0000}"/>
            </a:ext>
          </a:extLst>
        </xdr:cNvPr>
        <xdr:cNvSpPr>
          <a:spLocks noChangeShapeType="1"/>
        </xdr:cNvSpPr>
      </xdr:nvSpPr>
      <xdr:spPr bwMode="auto">
        <a:xfrm>
          <a:off x="3952875" y="6515100"/>
          <a:ext cx="7905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30</xdr:row>
      <xdr:rowOff>85725</xdr:rowOff>
    </xdr:from>
    <xdr:to>
      <xdr:col>4</xdr:col>
      <xdr:colOff>0</xdr:colOff>
      <xdr:row>30</xdr:row>
      <xdr:rowOff>85725</xdr:rowOff>
    </xdr:to>
    <xdr:sp macro="" textlink="">
      <xdr:nvSpPr>
        <xdr:cNvPr id="11713" name="Line 4">
          <a:extLst>
            <a:ext uri="{FF2B5EF4-FFF2-40B4-BE49-F238E27FC236}">
              <a16:creationId xmlns:a16="http://schemas.microsoft.com/office/drawing/2014/main" id="{00000000-0008-0000-0100-0000C12D0000}"/>
            </a:ext>
          </a:extLst>
        </xdr:cNvPr>
        <xdr:cNvSpPr>
          <a:spLocks noChangeShapeType="1"/>
        </xdr:cNvSpPr>
      </xdr:nvSpPr>
      <xdr:spPr bwMode="auto">
        <a:xfrm>
          <a:off x="3952875" y="6696075"/>
          <a:ext cx="7905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718F2BC-5C87-4648-A70C-33D28BFB3883}" name="SoilType" displayName="SoilType" ref="S4:AA7" totalsRowShown="0" headerRowDxfId="23" dataDxfId="22" headerRowBorderDxfId="44" tableBorderDxfId="43" totalsRowBorderDxfId="42">
  <autoFilter ref="S4:AA7" xr:uid="{E718F2BC-5C87-4648-A70C-33D28BFB3883}"/>
  <tableColumns count="9">
    <tableColumn id="1" xr3:uid="{8769320A-F08B-4A7F-A91D-7115846A6ECF}" name="LHI Soils" dataDxfId="32"/>
    <tableColumn id="2" xr3:uid="{03CB2439-1626-4C0B-B666-A1A8C5AF8E4E}" name="Column1" dataDxfId="31"/>
    <tableColumn id="3" xr3:uid="{08515862-2F0B-4D03-888E-D74DB946A094}" name="Daily DPR " dataDxfId="30"/>
    <tableColumn id="4" xr3:uid="{3BA30E5B-C29F-46A7-B7BC-DAE4B66C57A5}" name="units" dataDxfId="29"/>
    <tableColumn id="5" xr3:uid="{4A8252EA-45FD-40B8-9EBB-C0F70C33FB43}" name="Effective rainfall" dataDxfId="28"/>
    <tableColumn id="6" xr3:uid="{DC35E84C-2302-4097-AE3E-00B753C49B2F}" name="Column2" dataDxfId="27"/>
    <tableColumn id="7" xr3:uid="{859AD156-6C06-451A-BC5B-9B8BEA5322F1}" name="units3" dataDxfId="26"/>
    <tableColumn id="8" xr3:uid="{A6D61349-E9CA-4C27-BA11-2DFDAEE7BFE8}" name="Bulk denisity" dataDxfId="25"/>
    <tableColumn id="9" xr3:uid="{D511036F-A55B-4EC8-9721-611923D00CCB}" name="Phospurus sorpion" dataDxfId="2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19A4F01-D68A-4420-A44B-8FB2C22BC6A0}" name="Veg" displayName="Veg" ref="M17:R21" totalsRowShown="0" headerRowDxfId="15" dataDxfId="14" headerRowBorderDxfId="41" tableBorderDxfId="40" totalsRowBorderDxfId="39" headerRowCellStyle="Normal_Ashby nutrient balance (725L) 160604ab">
  <autoFilter ref="M17:R21" xr:uid="{319A4F01-D68A-4420-A44B-8FB2C22BC6A0}"/>
  <tableColumns count="6">
    <tableColumn id="1" xr3:uid="{1263B28D-FDEB-44DE-901B-D121421AE0F2}" name="Vegetation type" dataDxfId="21" dataCellStyle="Normal_Ashby nutrient balance (725L) 160604ab"/>
    <tableColumn id="2" xr3:uid="{E5DAE5B3-0B65-4E7A-BD81-DD29EB60B6B0}" name="Column1" dataDxfId="20" dataCellStyle="Normal_Ashby nutrient balance (725L) 160604ab"/>
    <tableColumn id="3" xr3:uid="{388A872E-6BD2-4B91-AFCD-DBD2DC6048AB}" name="Column2" dataDxfId="19" dataCellStyle="Normal_Ashby nutrient balance (725L) 160604ab"/>
    <tableColumn id="4" xr3:uid="{39DD7343-7BAE-497E-A1A5-BAE436C0C310}" name="Nitrogen" dataDxfId="18" dataCellStyle="Normal_Ashby nutrient balance (725L) 160604ab"/>
    <tableColumn id="5" xr3:uid="{69E28098-F371-4391-81F3-66309C46BFC5}" name="Phosphorus" dataDxfId="17" dataCellStyle="Normal_Ashby nutrient balance (725L) 160604ab"/>
    <tableColumn id="6" xr3:uid="{0E8C42CA-2F10-45FE-B16E-6C2AA554A6E0}" name="units" dataDxfId="16" dataCellStyle="Normal_Ashby nutrient balance (725L) 160604ab"/>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AE78CA0-A5AE-45B2-BC9D-34F73B0E81C7}" name="Table4" displayName="Table4" ref="M26:Q29" totalsRowShown="0" headerRowDxfId="8" dataDxfId="7" headerRowBorderDxfId="38" tableBorderDxfId="37" totalsRowBorderDxfId="36">
  <autoFilter ref="M26:Q29" xr:uid="{4AE78CA0-A5AE-45B2-BC9D-34F73B0E81C7}"/>
  <tableColumns count="5">
    <tableColumn id="1" xr3:uid="{5600F404-9EB8-420C-82B6-DB41AF280AB0}" name="LHI Soils" dataDxfId="13"/>
    <tableColumn id="2" xr3:uid="{F3881748-E0F5-4F2F-B59B-C6EECD67AFE7}" name="Column1" dataDxfId="12"/>
    <tableColumn id="3" xr3:uid="{98904251-029E-4EB1-B878-B93AB9947426}" name="P-sorption" dataDxfId="11"/>
    <tableColumn id="4" xr3:uid="{E6BFBF87-754A-4363-8163-560A827267E4}" name="Column2" dataDxfId="10"/>
    <tableColumn id="5" xr3:uid="{CCB38AB8-E58E-47C0-A20D-D682471B3366}" name="units" dataDxfId="9"/>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0BC42E5-D6E7-4B94-B046-71466D387141}" name="Table5" displayName="Table5" ref="M33:Q36" totalsRowShown="0" headerRowDxfId="1" dataDxfId="0" headerRowBorderDxfId="35" tableBorderDxfId="34" totalsRowBorderDxfId="33">
  <autoFilter ref="M33:Q36" xr:uid="{A0BC42E5-D6E7-4B94-B046-71466D387141}"/>
  <tableColumns count="5">
    <tableColumn id="1" xr3:uid="{9086359C-E1BF-4437-A9ED-44CC0A3B7D2F}" name="LHI Soils" dataDxfId="6"/>
    <tableColumn id="2" xr3:uid="{6E4FE87A-74F4-4AED-8BCF-F03CEFE4ED95}" name="Column1" dataDxfId="5"/>
    <tableColumn id="3" xr3:uid="{1ED6FD6B-448A-4218-961D-2F636D223AED}" name="Bulk Density" dataDxfId="4"/>
    <tableColumn id="4" xr3:uid="{E0BD610B-53BF-4181-A28A-444A95BB3758}" name="Column2" dataDxfId="3"/>
    <tableColumn id="5" xr3:uid="{E48B4A2C-B0C8-4D83-92CF-70F6236CF776}" name="units" dataDxfId="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9D5F-59E2-4E61-9F32-BDFBD316E3CB}">
  <dimension ref="A1:I39"/>
  <sheetViews>
    <sheetView tabSelected="1" zoomScale="115" zoomScaleNormal="115" workbookViewId="0">
      <selection activeCell="E4" sqref="E4"/>
    </sheetView>
  </sheetViews>
  <sheetFormatPr defaultRowHeight="15.75" x14ac:dyDescent="0.25"/>
  <cols>
    <col min="1" max="1" width="3.875" customWidth="1"/>
    <col min="2" max="2" width="88.375" style="8" customWidth="1"/>
    <col min="3" max="3" width="0.25" style="8" customWidth="1"/>
    <col min="4" max="4" width="3.125" style="9" customWidth="1"/>
    <col min="5" max="5" width="26.75" customWidth="1"/>
    <col min="6" max="6" width="20" customWidth="1"/>
    <col min="7" max="7" width="10.5" customWidth="1"/>
    <col min="8" max="8" width="13.625" customWidth="1"/>
    <col min="9" max="9" width="13.75" customWidth="1"/>
  </cols>
  <sheetData>
    <row r="1" spans="1:9" ht="16.5" thickBot="1" x14ac:dyDescent="0.3">
      <c r="A1" s="64"/>
      <c r="B1" s="229"/>
      <c r="C1" s="230"/>
      <c r="D1" s="231"/>
      <c r="E1" s="232"/>
      <c r="F1" s="232"/>
    </row>
    <row r="2" spans="1:9" x14ac:dyDescent="0.25">
      <c r="A2" s="233" t="s">
        <v>217</v>
      </c>
      <c r="B2" s="233"/>
      <c r="C2" s="234"/>
      <c r="D2" s="235" t="s">
        <v>205</v>
      </c>
      <c r="E2" s="236"/>
      <c r="F2" s="237"/>
    </row>
    <row r="3" spans="1:9" ht="27" customHeight="1" thickBot="1" x14ac:dyDescent="0.3">
      <c r="A3" s="238"/>
      <c r="B3" s="239" t="s">
        <v>218</v>
      </c>
      <c r="C3" s="230"/>
      <c r="D3" s="240" t="s">
        <v>235</v>
      </c>
      <c r="E3" s="241"/>
      <c r="F3" s="242"/>
    </row>
    <row r="4" spans="1:9" ht="28.5" customHeight="1" thickBot="1" x14ac:dyDescent="0.3">
      <c r="A4" s="238"/>
      <c r="B4" s="239" t="s">
        <v>216</v>
      </c>
      <c r="C4" s="230"/>
      <c r="D4" s="243">
        <v>1</v>
      </c>
      <c r="E4" s="12">
        <v>0</v>
      </c>
      <c r="F4" s="244" t="s">
        <v>198</v>
      </c>
    </row>
    <row r="5" spans="1:9" ht="26.25" x14ac:dyDescent="0.25">
      <c r="A5" s="238"/>
      <c r="B5" s="239" t="s">
        <v>219</v>
      </c>
      <c r="C5" s="230"/>
      <c r="D5" s="245"/>
      <c r="E5" s="246">
        <f>'Water Balance'!P7</f>
        <v>0</v>
      </c>
      <c r="F5" s="244" t="s">
        <v>222</v>
      </c>
    </row>
    <row r="6" spans="1:9" ht="30" customHeight="1" thickBot="1" x14ac:dyDescent="0.3">
      <c r="A6" s="233" t="s">
        <v>215</v>
      </c>
      <c r="B6" s="233"/>
      <c r="C6" s="247"/>
      <c r="D6" s="248" t="s">
        <v>236</v>
      </c>
      <c r="E6" s="249"/>
      <c r="F6" s="250"/>
    </row>
    <row r="7" spans="1:9" ht="16.5" thickBot="1" x14ac:dyDescent="0.3">
      <c r="A7" s="251" t="s">
        <v>225</v>
      </c>
      <c r="B7" s="229"/>
      <c r="C7" s="230"/>
      <c r="D7" s="243">
        <v>2</v>
      </c>
      <c r="E7" s="12">
        <v>0</v>
      </c>
      <c r="F7" s="244" t="s">
        <v>223</v>
      </c>
    </row>
    <row r="8" spans="1:9" x14ac:dyDescent="0.25">
      <c r="A8" s="252">
        <v>1</v>
      </c>
      <c r="B8" s="239" t="s">
        <v>226</v>
      </c>
      <c r="C8" s="230"/>
      <c r="D8" s="245"/>
      <c r="E8" s="246">
        <f>Sheet2!A3</f>
        <v>0</v>
      </c>
      <c r="F8" s="244" t="s">
        <v>221</v>
      </c>
    </row>
    <row r="9" spans="1:9" ht="29.25" customHeight="1" thickBot="1" x14ac:dyDescent="0.3">
      <c r="A9" s="252">
        <v>2</v>
      </c>
      <c r="B9" s="239" t="s">
        <v>227</v>
      </c>
      <c r="C9" s="230"/>
      <c r="D9" s="248" t="s">
        <v>237</v>
      </c>
      <c r="E9" s="249"/>
      <c r="F9" s="250"/>
    </row>
    <row r="10" spans="1:9" ht="39.75" thickBot="1" x14ac:dyDescent="0.3">
      <c r="A10" s="252">
        <v>3</v>
      </c>
      <c r="B10" s="239" t="s">
        <v>228</v>
      </c>
      <c r="C10" s="230"/>
      <c r="D10" s="243">
        <v>3</v>
      </c>
      <c r="E10" s="12"/>
      <c r="F10" s="244" t="s">
        <v>221</v>
      </c>
    </row>
    <row r="11" spans="1:9" x14ac:dyDescent="0.25">
      <c r="A11" s="252">
        <v>4</v>
      </c>
      <c r="B11" s="239" t="s">
        <v>229</v>
      </c>
      <c r="C11" s="230"/>
      <c r="D11" s="253" t="s">
        <v>238</v>
      </c>
      <c r="E11" s="254"/>
      <c r="F11" s="244"/>
    </row>
    <row r="12" spans="1:9" x14ac:dyDescent="0.25">
      <c r="A12" s="252">
        <v>5</v>
      </c>
      <c r="B12" s="239" t="s">
        <v>230</v>
      </c>
      <c r="C12" s="230"/>
      <c r="D12" s="245"/>
      <c r="E12" s="255">
        <f>SUM(E10,E8,E5)</f>
        <v>0</v>
      </c>
      <c r="F12" s="244" t="s">
        <v>221</v>
      </c>
    </row>
    <row r="13" spans="1:9" x14ac:dyDescent="0.25">
      <c r="A13" s="252">
        <v>6</v>
      </c>
      <c r="B13" s="239" t="s">
        <v>231</v>
      </c>
      <c r="C13" s="230"/>
      <c r="D13" s="245"/>
      <c r="E13" s="64"/>
      <c r="F13" s="256"/>
    </row>
    <row r="14" spans="1:9" x14ac:dyDescent="0.25">
      <c r="A14" s="252">
        <v>7</v>
      </c>
      <c r="B14" s="239" t="s">
        <v>232</v>
      </c>
      <c r="C14" s="230"/>
      <c r="D14" s="245"/>
      <c r="E14" s="64"/>
      <c r="F14" s="256"/>
    </row>
    <row r="15" spans="1:9" ht="16.5" thickBot="1" x14ac:dyDescent="0.3">
      <c r="A15" s="252">
        <v>8</v>
      </c>
      <c r="B15" s="239" t="s">
        <v>233</v>
      </c>
      <c r="C15" s="230"/>
      <c r="D15" s="253" t="s">
        <v>239</v>
      </c>
      <c r="E15" s="254"/>
      <c r="F15" s="257" t="s">
        <v>212</v>
      </c>
      <c r="G15" s="10" t="s">
        <v>213</v>
      </c>
      <c r="H15" s="10" t="s">
        <v>211</v>
      </c>
      <c r="I15" s="11" t="s">
        <v>76</v>
      </c>
    </row>
    <row r="16" spans="1:9" ht="27" thickBot="1" x14ac:dyDescent="0.3">
      <c r="A16" s="252">
        <v>9</v>
      </c>
      <c r="B16" s="239" t="s">
        <v>234</v>
      </c>
      <c r="C16" s="230"/>
      <c r="D16" s="243">
        <v>4</v>
      </c>
      <c r="E16" s="12" t="s">
        <v>146</v>
      </c>
      <c r="F16" s="257">
        <f>VLOOKUP(E16, SoilType[], 3, 0)</f>
        <v>5</v>
      </c>
      <c r="G16" s="10">
        <f>VLOOKUP(E16, SoilType[], 5, 0)</f>
        <v>0.8</v>
      </c>
      <c r="H16" s="10">
        <f>VLOOKUP(E16, SoilType[],8,0)</f>
        <v>1.8</v>
      </c>
      <c r="I16" s="10">
        <f>VLOOKUP(E16, SoilType[], 9,0)</f>
        <v>170</v>
      </c>
    </row>
    <row r="17" spans="1:8" x14ac:dyDescent="0.25">
      <c r="A17" s="238"/>
      <c r="B17" s="239"/>
      <c r="C17" s="230"/>
      <c r="D17" s="245"/>
      <c r="E17" s="64"/>
      <c r="F17" s="256"/>
    </row>
    <row r="18" spans="1:8" ht="26.25" x14ac:dyDescent="0.25">
      <c r="A18" s="238"/>
      <c r="B18" s="258" t="s">
        <v>224</v>
      </c>
      <c r="C18" s="259"/>
      <c r="D18" s="253" t="s">
        <v>240</v>
      </c>
      <c r="E18" s="254"/>
      <c r="F18" s="256"/>
    </row>
    <row r="19" spans="1:8" x14ac:dyDescent="0.25">
      <c r="A19" s="238"/>
      <c r="B19" s="239"/>
      <c r="C19" s="230"/>
      <c r="D19" s="245"/>
      <c r="E19" s="260">
        <f>'Water Balance'!J34</f>
        <v>0</v>
      </c>
      <c r="F19" s="244" t="s">
        <v>220</v>
      </c>
    </row>
    <row r="20" spans="1:8" x14ac:dyDescent="0.25">
      <c r="A20" s="238"/>
      <c r="B20" s="239"/>
      <c r="C20" s="230"/>
      <c r="D20" s="261"/>
      <c r="E20" s="38"/>
      <c r="F20" s="39"/>
    </row>
    <row r="21" spans="1:8" x14ac:dyDescent="0.25">
      <c r="A21" s="238"/>
      <c r="B21" s="239"/>
      <c r="C21" s="230"/>
      <c r="D21" s="262" t="s">
        <v>117</v>
      </c>
      <c r="E21" s="233"/>
      <c r="F21" s="263"/>
    </row>
    <row r="22" spans="1:8" ht="16.5" thickBot="1" x14ac:dyDescent="0.3">
      <c r="A22" s="238"/>
      <c r="B22" s="239"/>
      <c r="C22" s="230"/>
      <c r="D22" s="264" t="s">
        <v>170</v>
      </c>
      <c r="E22" s="254"/>
      <c r="F22" s="126"/>
    </row>
    <row r="23" spans="1:8" ht="16.5" thickBot="1" x14ac:dyDescent="0.3">
      <c r="A23" s="238"/>
      <c r="B23" s="239"/>
      <c r="C23" s="230"/>
      <c r="D23" s="265">
        <v>5</v>
      </c>
      <c r="E23" s="12"/>
      <c r="F23" s="126"/>
    </row>
    <row r="24" spans="1:8" ht="16.5" thickBot="1" x14ac:dyDescent="0.3">
      <c r="A24" s="238"/>
      <c r="B24" s="239"/>
      <c r="C24" s="230"/>
      <c r="D24" s="264" t="s">
        <v>206</v>
      </c>
      <c r="E24" s="254"/>
      <c r="F24" s="126"/>
    </row>
    <row r="25" spans="1:8" x14ac:dyDescent="0.25">
      <c r="A25" s="238"/>
      <c r="B25" s="239"/>
      <c r="C25" s="230"/>
      <c r="D25" s="265">
        <v>6</v>
      </c>
      <c r="E25" s="13">
        <v>20</v>
      </c>
      <c r="F25" s="105" t="s">
        <v>71</v>
      </c>
    </row>
    <row r="26" spans="1:8" x14ac:dyDescent="0.25">
      <c r="A26" s="238"/>
      <c r="B26" s="239"/>
      <c r="C26" s="230"/>
      <c r="D26" s="265">
        <v>7</v>
      </c>
      <c r="E26" s="14">
        <v>2</v>
      </c>
      <c r="F26" s="105" t="s">
        <v>80</v>
      </c>
    </row>
    <row r="27" spans="1:8" ht="16.5" thickBot="1" x14ac:dyDescent="0.3">
      <c r="A27" s="238"/>
      <c r="B27" s="239"/>
      <c r="C27" s="230"/>
      <c r="D27" s="265">
        <v>8</v>
      </c>
      <c r="E27" s="15">
        <v>40</v>
      </c>
      <c r="F27" s="105" t="s">
        <v>83</v>
      </c>
    </row>
    <row r="28" spans="1:8" x14ac:dyDescent="0.25">
      <c r="A28" s="238"/>
      <c r="B28" s="239"/>
      <c r="C28" s="230"/>
      <c r="D28" s="266"/>
      <c r="E28" s="64"/>
      <c r="F28" s="126"/>
    </row>
    <row r="29" spans="1:8" ht="16.5" thickBot="1" x14ac:dyDescent="0.3">
      <c r="A29" s="238"/>
      <c r="B29" s="239"/>
      <c r="C29" s="230"/>
      <c r="D29" s="264" t="s">
        <v>207</v>
      </c>
      <c r="E29" s="254"/>
      <c r="F29" s="126"/>
    </row>
    <row r="30" spans="1:8" ht="16.5" thickBot="1" x14ac:dyDescent="0.3">
      <c r="A30" s="238"/>
      <c r="B30" s="239"/>
      <c r="C30" s="230"/>
      <c r="D30" s="265">
        <v>9</v>
      </c>
      <c r="E30" s="12" t="s">
        <v>184</v>
      </c>
      <c r="F30" s="267">
        <f>VLOOKUP(E30, Veg[], 4, 0)</f>
        <v>200</v>
      </c>
      <c r="G30" s="10">
        <f>VLOOKUP(E30, Veg[], 5,0)</f>
        <v>20</v>
      </c>
      <c r="H30" s="10"/>
    </row>
    <row r="31" spans="1:8" x14ac:dyDescent="0.25">
      <c r="A31" s="238"/>
      <c r="B31" s="239"/>
      <c r="C31" s="230"/>
      <c r="D31" s="266"/>
      <c r="E31" s="64"/>
      <c r="F31" s="126"/>
    </row>
    <row r="32" spans="1:8" x14ac:dyDescent="0.25">
      <c r="A32" s="238"/>
      <c r="B32" s="239"/>
      <c r="C32" s="230"/>
      <c r="D32" s="264" t="s">
        <v>210</v>
      </c>
      <c r="E32" s="254"/>
      <c r="F32" s="126"/>
    </row>
    <row r="33" spans="1:6" x14ac:dyDescent="0.25">
      <c r="A33" s="238"/>
      <c r="B33" s="239"/>
      <c r="C33" s="230"/>
      <c r="D33" s="266"/>
      <c r="E33" s="268">
        <f>E19</f>
        <v>0</v>
      </c>
      <c r="F33" s="105" t="s">
        <v>205</v>
      </c>
    </row>
    <row r="34" spans="1:6" x14ac:dyDescent="0.25">
      <c r="A34" s="238"/>
      <c r="B34" s="239"/>
      <c r="C34" s="230"/>
      <c r="D34" s="266"/>
      <c r="E34" s="269">
        <f>'Nutrient Balance'!B18</f>
        <v>0</v>
      </c>
      <c r="F34" s="105" t="s">
        <v>88</v>
      </c>
    </row>
    <row r="35" spans="1:6" x14ac:dyDescent="0.25">
      <c r="A35" s="238"/>
      <c r="B35" s="239"/>
      <c r="C35" s="230"/>
      <c r="D35" s="266"/>
      <c r="E35" s="270">
        <f>'Nutrient Balance'!B19</f>
        <v>0</v>
      </c>
      <c r="F35" s="105" t="s">
        <v>91</v>
      </c>
    </row>
    <row r="36" spans="1:6" ht="16.5" thickBot="1" x14ac:dyDescent="0.3">
      <c r="A36" s="238"/>
      <c r="B36" s="239"/>
      <c r="C36" s="230"/>
      <c r="D36" s="271"/>
      <c r="E36" s="272"/>
      <c r="F36" s="273"/>
    </row>
    <row r="37" spans="1:6" x14ac:dyDescent="0.25">
      <c r="A37" s="238"/>
      <c r="B37" s="239"/>
      <c r="C37" s="230"/>
      <c r="D37" s="235" t="s">
        <v>214</v>
      </c>
      <c r="E37" s="236"/>
      <c r="F37" s="274"/>
    </row>
    <row r="38" spans="1:6" ht="16.5" thickBot="1" x14ac:dyDescent="0.3">
      <c r="A38" s="238"/>
      <c r="B38" s="239"/>
      <c r="C38" s="230"/>
      <c r="D38" s="271"/>
      <c r="E38" s="275">
        <f>MAX(E33:E35)</f>
        <v>0</v>
      </c>
      <c r="F38" s="276" t="s">
        <v>220</v>
      </c>
    </row>
    <row r="39" spans="1:6" x14ac:dyDescent="0.25">
      <c r="C39" s="9"/>
    </row>
  </sheetData>
  <sheetProtection algorithmName="SHA-512" hashValue="AFxsh/NDSrXBSn+IQnQThsJOHZgw7/esERHb2zgBtHZSmwy8sZ64Cy2SaqIJuayMgk0hG85USasZ/2a26VYJVg==" saltValue="vcKlXhT7q/V1ll8hRtmDfQ==" spinCount="100000" sheet="1" objects="1" scenarios="1"/>
  <protectedRanges>
    <protectedRange algorithmName="SHA-512" hashValue="qZDkV+eJbgsl6/Bumpp2He6BJTydg1Z7vV4yzsd2cZ2Y1CS92OotNp/97R20iL/pEV0bl1my+EG8CbrABZK7xg==" saltValue="YWCWTALncJquKX9iIuuFnQ==" spinCount="100000" sqref="A31:F38 F30 A30:D30 A28:F29 F25:F27 A25:D27 A24:F24 F23 A23:D23 A17:F22 F16 A16:D16 A11:F15 F10 A10:D10 A8:F9 F7 A7:D7 A5:F6 F4 A4:D4 A1:F3" name="Range1"/>
  </protectedRanges>
  <mergeCells count="15">
    <mergeCell ref="D32:E32"/>
    <mergeCell ref="D37:E37"/>
    <mergeCell ref="A2:B2"/>
    <mergeCell ref="A6:B6"/>
    <mergeCell ref="D2:E2"/>
    <mergeCell ref="D21:E21"/>
    <mergeCell ref="D29:E29"/>
    <mergeCell ref="D11:E11"/>
    <mergeCell ref="D15:E15"/>
    <mergeCell ref="D9:F9"/>
    <mergeCell ref="D6:F6"/>
    <mergeCell ref="D3:F3"/>
    <mergeCell ref="D18:E18"/>
    <mergeCell ref="D22:E22"/>
    <mergeCell ref="D24:E24"/>
  </mergeCells>
  <dataValidations count="1">
    <dataValidation type="list" allowBlank="1" showInputMessage="1" showErrorMessage="1" sqref="E16" xr:uid="{01ABCFD4-1162-43CD-B56B-A01295664DC4}">
      <formula1>Soilddown</formula1>
    </dataValidation>
  </dataValidations>
  <pageMargins left="0.25" right="0.25"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5A1C450A-D55B-457D-A558-E835FA5CD679}">
          <x14:formula1>
            <xm:f>'Nutrient Balance'!$T$18:$T$21</xm:f>
          </x14:formula1>
          <xm:sqref>E30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A46"/>
  <sheetViews>
    <sheetView zoomScale="72" zoomScaleNormal="72" workbookViewId="0">
      <selection activeCell="H36" sqref="H36"/>
    </sheetView>
  </sheetViews>
  <sheetFormatPr defaultColWidth="9" defaultRowHeight="15.75" x14ac:dyDescent="0.25"/>
  <cols>
    <col min="1" max="1" width="32" style="2" customWidth="1"/>
    <col min="2" max="2" width="9.25" style="2" customWidth="1"/>
    <col min="3" max="3" width="12.5" style="3" customWidth="1"/>
    <col min="4" max="4" width="14.75" style="3" customWidth="1"/>
    <col min="5" max="5" width="10.25" style="2" customWidth="1"/>
    <col min="6" max="6" width="11.625" style="2" customWidth="1"/>
    <col min="7" max="16" width="8.75" style="2" customWidth="1"/>
    <col min="17" max="17" width="8.75" style="4" customWidth="1"/>
    <col min="18" max="18" width="9" style="2"/>
    <col min="19" max="20" width="10.75" style="2" customWidth="1"/>
    <col min="21" max="21" width="12.25" style="2" customWidth="1"/>
    <col min="22" max="22" width="9" style="2"/>
    <col min="23" max="23" width="17" style="2" customWidth="1"/>
    <col min="24" max="24" width="10.75" style="2" customWidth="1"/>
    <col min="25" max="16384" width="9" style="2"/>
  </cols>
  <sheetData>
    <row r="1" spans="1:131" ht="30" customHeight="1" x14ac:dyDescent="0.45">
      <c r="A1" s="56" t="s">
        <v>119</v>
      </c>
      <c r="B1" s="57"/>
      <c r="C1" s="57"/>
      <c r="D1" s="57"/>
      <c r="E1" s="57"/>
      <c r="F1" s="57"/>
      <c r="G1" s="57"/>
      <c r="H1" s="57"/>
      <c r="I1" s="57"/>
      <c r="J1" s="57"/>
      <c r="K1" s="57"/>
      <c r="L1" s="57"/>
      <c r="M1" s="58"/>
      <c r="N1" s="58"/>
      <c r="O1" s="58"/>
      <c r="P1" s="58"/>
      <c r="Q1" s="59"/>
      <c r="R1" s="58"/>
      <c r="S1" s="58"/>
      <c r="T1" s="58"/>
      <c r="U1" s="58"/>
      <c r="V1" s="58"/>
      <c r="W1" s="58"/>
      <c r="X1" s="58"/>
      <c r="Y1" s="58"/>
      <c r="Z1" s="58"/>
      <c r="AA1" s="58"/>
      <c r="AB1" s="58"/>
    </row>
    <row r="2" spans="1:131" ht="27" customHeight="1" x14ac:dyDescent="0.35">
      <c r="A2" s="60" t="s">
        <v>118</v>
      </c>
      <c r="B2" s="61"/>
      <c r="C2" s="62"/>
      <c r="D2" s="62"/>
      <c r="E2" s="62"/>
      <c r="F2" s="62"/>
      <c r="G2" s="62"/>
      <c r="H2" s="62"/>
      <c r="I2" s="62"/>
      <c r="J2" s="62"/>
      <c r="K2" s="62"/>
      <c r="L2" s="62"/>
      <c r="M2" s="62"/>
      <c r="N2" s="62"/>
      <c r="O2" s="62"/>
      <c r="P2" s="62"/>
      <c r="Q2" s="63"/>
      <c r="R2" s="58"/>
      <c r="S2" s="58"/>
      <c r="T2" s="58"/>
      <c r="U2" s="58"/>
      <c r="V2" s="58"/>
      <c r="W2" s="58"/>
      <c r="X2" s="58"/>
      <c r="Y2" s="58"/>
      <c r="Z2" s="58"/>
      <c r="AA2" s="58"/>
      <c r="AB2" s="58"/>
    </row>
    <row r="3" spans="1:131" ht="27" customHeight="1" x14ac:dyDescent="0.35">
      <c r="A3" s="60"/>
      <c r="B3" s="60"/>
      <c r="C3" s="60"/>
      <c r="D3" s="60"/>
      <c r="E3" s="60"/>
      <c r="F3" s="60"/>
      <c r="G3" s="60"/>
      <c r="H3" s="60"/>
      <c r="I3" s="60"/>
      <c r="J3" s="60"/>
      <c r="K3" s="60"/>
      <c r="L3" s="60"/>
      <c r="M3" s="60"/>
      <c r="N3" s="59" t="s">
        <v>157</v>
      </c>
      <c r="O3" s="59"/>
      <c r="P3" s="58"/>
      <c r="Q3" s="59"/>
      <c r="R3" s="58"/>
      <c r="S3" s="59" t="s">
        <v>158</v>
      </c>
      <c r="T3" s="58"/>
      <c r="U3" s="58"/>
      <c r="V3" s="58"/>
      <c r="W3" s="58"/>
      <c r="X3" s="58"/>
      <c r="Y3" s="58"/>
      <c r="Z3" s="58"/>
      <c r="AA3" s="58"/>
      <c r="AB3" s="58"/>
    </row>
    <row r="4" spans="1:131" ht="24" customHeight="1" x14ac:dyDescent="0.25">
      <c r="A4" s="59" t="s">
        <v>125</v>
      </c>
      <c r="B4" s="58"/>
      <c r="C4" s="58"/>
      <c r="D4" s="64"/>
      <c r="E4" s="58"/>
      <c r="F4" s="58" t="s">
        <v>59</v>
      </c>
      <c r="G4" s="58"/>
      <c r="H4" s="58"/>
      <c r="I4" s="58"/>
      <c r="J4" s="58"/>
      <c r="K4" s="58"/>
      <c r="L4" s="58"/>
      <c r="M4" s="58"/>
      <c r="N4" s="65" t="s">
        <v>134</v>
      </c>
      <c r="O4" s="66"/>
      <c r="P4" s="67">
        <v>120</v>
      </c>
      <c r="Q4" s="68" t="s">
        <v>136</v>
      </c>
      <c r="R4" s="58"/>
      <c r="S4" s="69" t="s">
        <v>145</v>
      </c>
      <c r="T4" s="70" t="s">
        <v>202</v>
      </c>
      <c r="U4" s="71" t="s">
        <v>151</v>
      </c>
      <c r="V4" s="72" t="s">
        <v>148</v>
      </c>
      <c r="W4" s="71" t="s">
        <v>149</v>
      </c>
      <c r="X4" s="73" t="s">
        <v>203</v>
      </c>
      <c r="Y4" s="71" t="s">
        <v>204</v>
      </c>
      <c r="Z4" s="74" t="s">
        <v>208</v>
      </c>
      <c r="AA4" s="74" t="s">
        <v>209</v>
      </c>
      <c r="AB4" s="58"/>
    </row>
    <row r="5" spans="1:131" ht="15.75" customHeight="1" x14ac:dyDescent="0.2">
      <c r="A5" s="75" t="s">
        <v>0</v>
      </c>
      <c r="B5" s="76" t="s">
        <v>1</v>
      </c>
      <c r="C5" s="77">
        <f>'Summary Calculations'!E12</f>
        <v>0</v>
      </c>
      <c r="D5" s="76" t="s">
        <v>58</v>
      </c>
      <c r="E5" s="58"/>
      <c r="F5" s="58"/>
      <c r="G5" s="58"/>
      <c r="H5" s="58"/>
      <c r="I5" s="58"/>
      <c r="J5" s="58"/>
      <c r="K5" s="58"/>
      <c r="L5" s="58"/>
      <c r="M5" s="58"/>
      <c r="N5" s="65" t="s">
        <v>135</v>
      </c>
      <c r="O5" s="66"/>
      <c r="P5" s="78">
        <f>'Summary Calculations'!E4</f>
        <v>0</v>
      </c>
      <c r="Q5" s="79"/>
      <c r="R5" s="58"/>
      <c r="S5" s="80" t="s">
        <v>146</v>
      </c>
      <c r="T5" s="79"/>
      <c r="U5" s="81">
        <v>5</v>
      </c>
      <c r="V5" s="76" t="s">
        <v>115</v>
      </c>
      <c r="W5" s="82">
        <v>0.8</v>
      </c>
      <c r="X5" s="68"/>
      <c r="Y5" s="82" t="s">
        <v>152</v>
      </c>
      <c r="Z5" s="58">
        <v>1.8</v>
      </c>
      <c r="AA5" s="58">
        <v>170</v>
      </c>
      <c r="AB5" s="58"/>
    </row>
    <row r="6" spans="1:131" ht="18.75" customHeight="1" x14ac:dyDescent="0.2">
      <c r="A6" s="75" t="s">
        <v>160</v>
      </c>
      <c r="B6" s="76" t="s">
        <v>147</v>
      </c>
      <c r="C6" s="83">
        <f>'Summary Calculations'!F16</f>
        <v>5</v>
      </c>
      <c r="D6" s="76" t="s">
        <v>115</v>
      </c>
      <c r="E6" s="58" t="s">
        <v>154</v>
      </c>
      <c r="F6" s="58"/>
      <c r="G6" s="58"/>
      <c r="H6" s="58"/>
      <c r="I6" s="58"/>
      <c r="J6" s="58"/>
      <c r="K6" s="58"/>
      <c r="L6" s="58"/>
      <c r="M6" s="58"/>
      <c r="N6" s="65" t="s">
        <v>162</v>
      </c>
      <c r="O6" s="66"/>
      <c r="P6" s="67">
        <f>IF(P5=0,0,P5+1)</f>
        <v>0</v>
      </c>
      <c r="Q6" s="68" t="s">
        <v>144</v>
      </c>
      <c r="R6" s="58"/>
      <c r="S6" s="80" t="s">
        <v>181</v>
      </c>
      <c r="T6" s="79"/>
      <c r="U6" s="81">
        <v>4</v>
      </c>
      <c r="V6" s="76" t="s">
        <v>115</v>
      </c>
      <c r="W6" s="82">
        <v>0.75</v>
      </c>
      <c r="X6" s="68"/>
      <c r="Y6" s="82" t="s">
        <v>152</v>
      </c>
      <c r="Z6" s="58">
        <v>1.6</v>
      </c>
      <c r="AA6" s="58">
        <v>400</v>
      </c>
      <c r="AB6" s="58"/>
    </row>
    <row r="7" spans="1:131" ht="18.75" customHeight="1" x14ac:dyDescent="0.2">
      <c r="A7" s="75" t="s">
        <v>114</v>
      </c>
      <c r="B7" s="76" t="s">
        <v>39</v>
      </c>
      <c r="C7" s="77">
        <v>2404</v>
      </c>
      <c r="D7" s="76" t="s">
        <v>113</v>
      </c>
      <c r="E7" s="58"/>
      <c r="F7" s="58"/>
      <c r="G7" s="58"/>
      <c r="H7" s="58"/>
      <c r="I7" s="58"/>
      <c r="J7" s="84"/>
      <c r="K7" s="84"/>
      <c r="L7" s="84"/>
      <c r="M7" s="84"/>
      <c r="N7" s="85" t="s">
        <v>163</v>
      </c>
      <c r="O7" s="86"/>
      <c r="P7" s="67">
        <f>P4*P6</f>
        <v>0</v>
      </c>
      <c r="Q7" s="68" t="s">
        <v>161</v>
      </c>
      <c r="R7" s="84"/>
      <c r="S7" s="87" t="s">
        <v>182</v>
      </c>
      <c r="T7" s="88"/>
      <c r="U7" s="89">
        <v>3</v>
      </c>
      <c r="V7" s="90" t="s">
        <v>115</v>
      </c>
      <c r="W7" s="91">
        <v>0.7</v>
      </c>
      <c r="X7" s="92"/>
      <c r="Y7" s="91" t="s">
        <v>152</v>
      </c>
      <c r="Z7" s="58">
        <v>1.4</v>
      </c>
      <c r="AA7" s="58">
        <v>700</v>
      </c>
      <c r="AB7" s="58"/>
    </row>
    <row r="8" spans="1:131" ht="18" customHeight="1" x14ac:dyDescent="0.2">
      <c r="A8" s="75" t="s">
        <v>23</v>
      </c>
      <c r="B8" s="76" t="s">
        <v>33</v>
      </c>
      <c r="C8" s="76" t="s">
        <v>128</v>
      </c>
      <c r="D8" s="76" t="s">
        <v>116</v>
      </c>
      <c r="E8" s="58" t="s">
        <v>137</v>
      </c>
      <c r="F8" s="58"/>
      <c r="G8" s="58"/>
      <c r="H8" s="84"/>
      <c r="I8" s="93"/>
      <c r="J8" s="84"/>
      <c r="K8" s="84"/>
      <c r="L8" s="84"/>
      <c r="M8" s="84"/>
      <c r="N8" s="58"/>
      <c r="O8" s="58"/>
      <c r="P8" s="58"/>
      <c r="Q8" s="58"/>
      <c r="R8" s="84"/>
      <c r="S8" s="58"/>
      <c r="T8" s="58"/>
      <c r="U8" s="58"/>
      <c r="V8" s="58"/>
      <c r="W8" s="58"/>
      <c r="X8" s="58"/>
      <c r="Y8" s="58"/>
      <c r="Z8" s="58"/>
      <c r="AA8" s="58"/>
      <c r="AB8" s="58"/>
    </row>
    <row r="9" spans="1:131" ht="19.5" x14ac:dyDescent="0.35">
      <c r="A9" s="75" t="s">
        <v>159</v>
      </c>
      <c r="B9" s="76" t="s">
        <v>153</v>
      </c>
      <c r="C9" s="78">
        <f>'Summary Calculations'!G16</f>
        <v>0.8</v>
      </c>
      <c r="D9" s="76" t="s">
        <v>116</v>
      </c>
      <c r="E9" s="58" t="s">
        <v>138</v>
      </c>
      <c r="F9" s="58"/>
      <c r="G9" s="58"/>
      <c r="H9" s="84"/>
      <c r="I9" s="84"/>
      <c r="J9" s="84"/>
      <c r="K9" s="84"/>
      <c r="L9" s="84"/>
      <c r="M9" s="94"/>
      <c r="N9" s="84"/>
      <c r="O9" s="84"/>
      <c r="P9" s="84"/>
      <c r="Q9" s="84"/>
      <c r="R9" s="84"/>
      <c r="S9" s="84"/>
      <c r="T9" s="58"/>
      <c r="U9" s="58"/>
      <c r="V9" s="58"/>
      <c r="W9" s="58"/>
      <c r="X9" s="58"/>
      <c r="Y9" s="58"/>
      <c r="Z9" s="58"/>
      <c r="AA9" s="58" t="str" cm="1">
        <f t="array" ref="AA9:AA11">SoilType[LHI Soils]</f>
        <v>Sand</v>
      </c>
      <c r="AB9" s="58"/>
    </row>
    <row r="10" spans="1:131" x14ac:dyDescent="0.25">
      <c r="A10" s="75" t="s">
        <v>56</v>
      </c>
      <c r="B10" s="95" t="s">
        <v>143</v>
      </c>
      <c r="C10" s="80"/>
      <c r="D10" s="79"/>
      <c r="E10" s="58" t="s">
        <v>139</v>
      </c>
      <c r="F10" s="58"/>
      <c r="G10" s="58"/>
      <c r="H10" s="58"/>
      <c r="I10" s="58"/>
      <c r="J10" s="96"/>
      <c r="K10" s="58"/>
      <c r="L10" s="58"/>
      <c r="M10" s="58"/>
      <c r="N10" s="58"/>
      <c r="O10" s="58"/>
      <c r="P10" s="58"/>
      <c r="Q10" s="59"/>
      <c r="R10" s="58"/>
      <c r="S10" s="93"/>
      <c r="T10" s="58"/>
      <c r="U10" s="58"/>
      <c r="V10" s="58"/>
      <c r="W10" s="58"/>
      <c r="X10" s="58"/>
      <c r="Y10" s="58"/>
      <c r="Z10" s="58"/>
      <c r="AA10" s="58" t="str">
        <v>Calcareous earth</v>
      </c>
      <c r="AB10" s="58"/>
    </row>
    <row r="11" spans="1:131" x14ac:dyDescent="0.25">
      <c r="A11" s="75" t="s">
        <v>57</v>
      </c>
      <c r="B11" s="97" t="s">
        <v>150</v>
      </c>
      <c r="C11" s="98"/>
      <c r="D11" s="99"/>
      <c r="E11" s="58" t="s">
        <v>139</v>
      </c>
      <c r="F11" s="58"/>
      <c r="G11" s="58"/>
      <c r="H11" s="58"/>
      <c r="I11" s="58"/>
      <c r="J11" s="58"/>
      <c r="K11" s="58"/>
      <c r="L11" s="58"/>
      <c r="M11" s="58"/>
      <c r="N11" s="58"/>
      <c r="O11" s="58"/>
      <c r="P11" s="58"/>
      <c r="Q11" s="59"/>
      <c r="R11" s="58"/>
      <c r="S11" s="58"/>
      <c r="T11" s="58"/>
      <c r="U11" s="58"/>
      <c r="V11" s="58"/>
      <c r="W11" s="58"/>
      <c r="X11" s="58"/>
      <c r="Y11" s="58"/>
      <c r="Z11" s="58"/>
      <c r="AA11" s="58" t="str">
        <v>Volcanic soil</v>
      </c>
      <c r="AB11" s="58"/>
    </row>
    <row r="12" spans="1:131" x14ac:dyDescent="0.25">
      <c r="A12" s="58"/>
      <c r="B12" s="58"/>
      <c r="C12" s="64"/>
      <c r="D12" s="64"/>
      <c r="E12" s="58"/>
      <c r="F12" s="58"/>
      <c r="G12" s="58"/>
      <c r="H12" s="58"/>
      <c r="I12" s="58"/>
      <c r="J12" s="58"/>
      <c r="K12" s="58"/>
      <c r="L12" s="58"/>
      <c r="M12" s="58"/>
      <c r="N12" s="58"/>
      <c r="O12" s="58"/>
      <c r="P12" s="58"/>
      <c r="Q12" s="59"/>
      <c r="R12" s="58"/>
      <c r="S12" s="58"/>
      <c r="T12" s="58"/>
      <c r="U12" s="58"/>
      <c r="V12" s="58"/>
      <c r="W12" s="58"/>
      <c r="X12" s="58"/>
      <c r="Y12" s="58"/>
      <c r="Z12" s="58"/>
      <c r="AA12" s="58"/>
      <c r="AB12" s="58"/>
    </row>
    <row r="13" spans="1:131" ht="16.5" thickBot="1" x14ac:dyDescent="0.3">
      <c r="A13" s="58"/>
      <c r="B13" s="58"/>
      <c r="C13" s="64"/>
      <c r="D13" s="64"/>
      <c r="E13" s="58"/>
      <c r="F13" s="58"/>
      <c r="G13" s="58"/>
      <c r="H13" s="58"/>
      <c r="I13" s="58"/>
      <c r="J13" s="58"/>
      <c r="K13" s="58"/>
      <c r="L13" s="58"/>
      <c r="M13" s="58"/>
      <c r="N13" s="58"/>
      <c r="O13" s="58"/>
      <c r="P13" s="58"/>
      <c r="Q13" s="59"/>
      <c r="R13" s="58"/>
      <c r="S13" s="58"/>
      <c r="T13" s="58"/>
      <c r="U13" s="58"/>
      <c r="V13" s="58"/>
      <c r="W13" s="58"/>
      <c r="X13" s="58"/>
      <c r="Y13" s="58"/>
      <c r="Z13" s="58"/>
      <c r="AA13" s="58"/>
      <c r="AB13" s="58"/>
    </row>
    <row r="14" spans="1:131" s="1" customFormat="1" thickBot="1" x14ac:dyDescent="0.25">
      <c r="A14" s="100" t="s">
        <v>3</v>
      </c>
      <c r="B14" s="101" t="s">
        <v>4</v>
      </c>
      <c r="C14" s="101" t="s">
        <v>5</v>
      </c>
      <c r="D14" s="101" t="s">
        <v>6</v>
      </c>
      <c r="E14" s="101" t="s">
        <v>7</v>
      </c>
      <c r="F14" s="101" t="s">
        <v>8</v>
      </c>
      <c r="G14" s="101" t="s">
        <v>9</v>
      </c>
      <c r="H14" s="101" t="s">
        <v>10</v>
      </c>
      <c r="I14" s="101" t="s">
        <v>11</v>
      </c>
      <c r="J14" s="101" t="s">
        <v>12</v>
      </c>
      <c r="K14" s="101" t="s">
        <v>13</v>
      </c>
      <c r="L14" s="101" t="s">
        <v>14</v>
      </c>
      <c r="M14" s="101" t="s">
        <v>15</v>
      </c>
      <c r="N14" s="101" t="s">
        <v>16</v>
      </c>
      <c r="O14" s="101" t="s">
        <v>17</v>
      </c>
      <c r="P14" s="101" t="s">
        <v>18</v>
      </c>
      <c r="Q14" s="102" t="s">
        <v>19</v>
      </c>
      <c r="R14" s="103"/>
      <c r="S14" s="58"/>
      <c r="T14" s="58"/>
      <c r="U14" s="103"/>
      <c r="V14" s="103"/>
      <c r="W14" s="103"/>
      <c r="X14" s="103"/>
      <c r="Y14" s="103"/>
      <c r="Z14" s="103"/>
      <c r="AA14" s="103"/>
      <c r="AB14" s="103"/>
    </row>
    <row r="15" spans="1:131" s="1" customFormat="1" ht="15" x14ac:dyDescent="0.2">
      <c r="A15" s="104" t="s">
        <v>20</v>
      </c>
      <c r="B15" s="103" t="s">
        <v>31</v>
      </c>
      <c r="C15" s="103" t="s">
        <v>44</v>
      </c>
      <c r="D15" s="103" t="s">
        <v>45</v>
      </c>
      <c r="E15" s="103">
        <v>31</v>
      </c>
      <c r="F15" s="103">
        <v>28</v>
      </c>
      <c r="G15" s="103">
        <v>31</v>
      </c>
      <c r="H15" s="103">
        <v>30</v>
      </c>
      <c r="I15" s="103">
        <v>31</v>
      </c>
      <c r="J15" s="103">
        <v>30</v>
      </c>
      <c r="K15" s="103">
        <v>31</v>
      </c>
      <c r="L15" s="103">
        <v>31</v>
      </c>
      <c r="M15" s="103">
        <v>30</v>
      </c>
      <c r="N15" s="103">
        <v>31</v>
      </c>
      <c r="O15" s="103">
        <v>30</v>
      </c>
      <c r="P15" s="103">
        <v>31</v>
      </c>
      <c r="Q15" s="105">
        <f>SUM(E15:P15)</f>
        <v>365</v>
      </c>
      <c r="R15" s="103"/>
      <c r="S15" s="84"/>
      <c r="T15" s="58"/>
      <c r="U15" s="58"/>
      <c r="V15" s="58"/>
      <c r="W15" s="58"/>
      <c r="X15" s="58"/>
      <c r="Y15" s="58"/>
      <c r="Z15" s="58"/>
      <c r="AA15" s="58"/>
      <c r="AB15" s="58"/>
      <c r="AC15" s="2"/>
      <c r="AD15" s="2"/>
      <c r="AE15" s="2"/>
    </row>
    <row r="16" spans="1:131" s="7" customFormat="1" ht="15" x14ac:dyDescent="0.2">
      <c r="A16" s="104" t="s">
        <v>21</v>
      </c>
      <c r="B16" s="103" t="s">
        <v>2</v>
      </c>
      <c r="C16" s="103" t="s">
        <v>44</v>
      </c>
      <c r="D16" s="103" t="s">
        <v>46</v>
      </c>
      <c r="E16" s="106">
        <v>117.5</v>
      </c>
      <c r="F16" s="106">
        <v>116.2</v>
      </c>
      <c r="G16" s="106">
        <v>134.9</v>
      </c>
      <c r="H16" s="106">
        <v>134.19999999999999</v>
      </c>
      <c r="I16" s="106">
        <v>157.69999999999999</v>
      </c>
      <c r="J16" s="106">
        <v>173.1</v>
      </c>
      <c r="K16" s="106">
        <v>141</v>
      </c>
      <c r="L16" s="106">
        <v>107.7</v>
      </c>
      <c r="M16" s="106">
        <v>110.7</v>
      </c>
      <c r="N16" s="106">
        <v>106.1</v>
      </c>
      <c r="O16" s="106">
        <v>110.3</v>
      </c>
      <c r="P16" s="106">
        <v>102.4</v>
      </c>
      <c r="Q16" s="107">
        <f>SUM(E16:P16)</f>
        <v>1511.8</v>
      </c>
      <c r="R16" s="108"/>
      <c r="S16" s="93"/>
      <c r="T16" s="58"/>
      <c r="U16" s="58"/>
      <c r="V16" s="58"/>
      <c r="W16" s="58"/>
      <c r="X16" s="58"/>
      <c r="Y16" s="58"/>
      <c r="Z16" s="58"/>
      <c r="AA16" s="58"/>
      <c r="AB16" s="58"/>
      <c r="AC16" s="2"/>
      <c r="AD16" s="2"/>
      <c r="AE16" s="2"/>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row>
    <row r="17" spans="1:131" s="7" customFormat="1" ht="15" x14ac:dyDescent="0.2">
      <c r="A17" s="104" t="s">
        <v>22</v>
      </c>
      <c r="B17" s="103" t="s">
        <v>32</v>
      </c>
      <c r="C17" s="103" t="s">
        <v>44</v>
      </c>
      <c r="D17" s="103" t="s">
        <v>46</v>
      </c>
      <c r="E17" s="103">
        <f>E18*E15</f>
        <v>167.4</v>
      </c>
      <c r="F17" s="103">
        <f t="shared" ref="F17:P17" si="0">F18*F15</f>
        <v>148.4</v>
      </c>
      <c r="G17" s="103">
        <f t="shared" si="0"/>
        <v>151.9</v>
      </c>
      <c r="H17" s="103">
        <f t="shared" si="0"/>
        <v>120</v>
      </c>
      <c r="I17" s="103">
        <f t="shared" si="0"/>
        <v>102.3</v>
      </c>
      <c r="J17" s="103">
        <f t="shared" si="0"/>
        <v>90</v>
      </c>
      <c r="K17" s="103">
        <f t="shared" si="0"/>
        <v>93</v>
      </c>
      <c r="L17" s="103">
        <f t="shared" si="0"/>
        <v>105.39999999999999</v>
      </c>
      <c r="M17" s="103">
        <f t="shared" si="0"/>
        <v>117</v>
      </c>
      <c r="N17" s="103">
        <f t="shared" si="0"/>
        <v>139.5</v>
      </c>
      <c r="O17" s="103">
        <f t="shared" si="0"/>
        <v>153</v>
      </c>
      <c r="P17" s="103">
        <f t="shared" si="0"/>
        <v>170.5</v>
      </c>
      <c r="Q17" s="109">
        <f>SUM(E17:P17)</f>
        <v>1558.4</v>
      </c>
      <c r="R17" s="103"/>
      <c r="S17" s="58"/>
      <c r="T17" s="58"/>
      <c r="U17" s="58"/>
      <c r="V17" s="58"/>
      <c r="W17" s="58"/>
      <c r="X17" s="58"/>
      <c r="Y17" s="58"/>
      <c r="Z17" s="58"/>
      <c r="AA17" s="58"/>
      <c r="AB17" s="58"/>
      <c r="AC17" s="2"/>
      <c r="AD17" s="2"/>
      <c r="AE17" s="2"/>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row>
    <row r="18" spans="1:131" s="7" customFormat="1" ht="15" x14ac:dyDescent="0.2">
      <c r="A18" s="104" t="s">
        <v>133</v>
      </c>
      <c r="B18" s="103"/>
      <c r="C18" s="103"/>
      <c r="D18" s="103" t="s">
        <v>115</v>
      </c>
      <c r="E18" s="106">
        <v>5.4</v>
      </c>
      <c r="F18" s="106">
        <v>5.3</v>
      </c>
      <c r="G18" s="106">
        <v>4.9000000000000004</v>
      </c>
      <c r="H18" s="106">
        <v>4</v>
      </c>
      <c r="I18" s="106">
        <v>3.3</v>
      </c>
      <c r="J18" s="106">
        <v>3</v>
      </c>
      <c r="K18" s="106">
        <v>3</v>
      </c>
      <c r="L18" s="106">
        <v>3.4</v>
      </c>
      <c r="M18" s="106">
        <v>3.9</v>
      </c>
      <c r="N18" s="106">
        <v>4.5</v>
      </c>
      <c r="O18" s="106">
        <v>5.0999999999999996</v>
      </c>
      <c r="P18" s="106">
        <v>5.5</v>
      </c>
      <c r="Q18" s="107"/>
      <c r="R18" s="103"/>
      <c r="S18" s="58"/>
      <c r="T18" s="58"/>
      <c r="U18" s="58"/>
      <c r="V18" s="58"/>
      <c r="W18" s="58"/>
      <c r="X18" s="58"/>
      <c r="Y18" s="58"/>
      <c r="Z18" s="58"/>
      <c r="AA18" s="58"/>
      <c r="AB18" s="58"/>
      <c r="AC18" s="2"/>
      <c r="AD18" s="2"/>
      <c r="AE18" s="2"/>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row>
    <row r="19" spans="1:131" s="1" customFormat="1" ht="15" x14ac:dyDescent="0.2">
      <c r="A19" s="110" t="s">
        <v>23</v>
      </c>
      <c r="B19" s="111" t="s">
        <v>33</v>
      </c>
      <c r="C19" s="111"/>
      <c r="D19" s="111" t="s">
        <v>116</v>
      </c>
      <c r="E19" s="112">
        <v>0.8</v>
      </c>
      <c r="F19" s="112">
        <v>0.8</v>
      </c>
      <c r="G19" s="112">
        <v>0.8</v>
      </c>
      <c r="H19" s="112">
        <v>0.7</v>
      </c>
      <c r="I19" s="112">
        <v>0.7</v>
      </c>
      <c r="J19" s="112">
        <v>0.7</v>
      </c>
      <c r="K19" s="112">
        <v>0.7</v>
      </c>
      <c r="L19" s="112">
        <v>0.7</v>
      </c>
      <c r="M19" s="112">
        <v>0.7</v>
      </c>
      <c r="N19" s="112">
        <v>0.8</v>
      </c>
      <c r="O19" s="112">
        <v>0.8</v>
      </c>
      <c r="P19" s="112">
        <v>0.8</v>
      </c>
      <c r="Q19" s="107" t="s">
        <v>59</v>
      </c>
      <c r="R19" s="103"/>
      <c r="S19" s="58"/>
      <c r="T19" s="58"/>
      <c r="U19" s="58"/>
      <c r="V19" s="58"/>
      <c r="W19" s="58"/>
      <c r="X19" s="58"/>
      <c r="Y19" s="58"/>
      <c r="Z19" s="58"/>
      <c r="AA19" s="58"/>
      <c r="AB19" s="58"/>
      <c r="AC19" s="2"/>
      <c r="AD19" s="2"/>
      <c r="AE19" s="2"/>
    </row>
    <row r="20" spans="1:131" x14ac:dyDescent="0.25">
      <c r="A20" s="113" t="s">
        <v>24</v>
      </c>
      <c r="B20" s="58"/>
      <c r="C20" s="64"/>
      <c r="D20" s="64"/>
      <c r="E20" s="114"/>
      <c r="F20" s="114"/>
      <c r="G20" s="114"/>
      <c r="H20" s="114"/>
      <c r="I20" s="114"/>
      <c r="J20" s="114"/>
      <c r="K20" s="114"/>
      <c r="L20" s="114"/>
      <c r="M20" s="114"/>
      <c r="N20" s="114"/>
      <c r="O20" s="114"/>
      <c r="P20" s="114"/>
      <c r="Q20" s="115"/>
      <c r="R20" s="58"/>
      <c r="S20" s="58"/>
      <c r="T20" s="58"/>
      <c r="U20" s="58"/>
      <c r="V20" s="58"/>
      <c r="W20" s="58"/>
      <c r="X20" s="58"/>
      <c r="Y20" s="58"/>
      <c r="Z20" s="58"/>
      <c r="AA20" s="58"/>
      <c r="AB20" s="58"/>
    </row>
    <row r="21" spans="1:131" ht="15" x14ac:dyDescent="0.2">
      <c r="A21" s="104" t="s">
        <v>25</v>
      </c>
      <c r="B21" s="103" t="s">
        <v>34</v>
      </c>
      <c r="C21" s="103" t="s">
        <v>41</v>
      </c>
      <c r="D21" s="103" t="s">
        <v>46</v>
      </c>
      <c r="E21" s="116">
        <f t="shared" ref="E21:P21" si="1">E17*E19</f>
        <v>133.92000000000002</v>
      </c>
      <c r="F21" s="116">
        <f t="shared" si="1"/>
        <v>118.72000000000001</v>
      </c>
      <c r="G21" s="116">
        <f t="shared" si="1"/>
        <v>121.52000000000001</v>
      </c>
      <c r="H21" s="116">
        <f t="shared" si="1"/>
        <v>84</v>
      </c>
      <c r="I21" s="116">
        <f t="shared" si="1"/>
        <v>71.61</v>
      </c>
      <c r="J21" s="116">
        <f t="shared" si="1"/>
        <v>62.999999999999993</v>
      </c>
      <c r="K21" s="116">
        <f t="shared" si="1"/>
        <v>65.099999999999994</v>
      </c>
      <c r="L21" s="116">
        <f t="shared" si="1"/>
        <v>73.779999999999987</v>
      </c>
      <c r="M21" s="116">
        <f t="shared" si="1"/>
        <v>81.899999999999991</v>
      </c>
      <c r="N21" s="116">
        <f t="shared" si="1"/>
        <v>111.60000000000001</v>
      </c>
      <c r="O21" s="116">
        <f t="shared" si="1"/>
        <v>122.4</v>
      </c>
      <c r="P21" s="116">
        <f t="shared" si="1"/>
        <v>136.4</v>
      </c>
      <c r="Q21" s="117">
        <f>SUM(E21:P21)</f>
        <v>1183.9500000000003</v>
      </c>
      <c r="R21" s="58"/>
      <c r="S21" s="58"/>
      <c r="T21" s="58"/>
      <c r="U21" s="58"/>
      <c r="V21" s="58"/>
      <c r="W21" s="58"/>
      <c r="X21" s="58"/>
      <c r="Y21" s="58"/>
      <c r="Z21" s="58"/>
      <c r="AA21" s="58"/>
      <c r="AB21" s="58"/>
    </row>
    <row r="22" spans="1:131" s="1" customFormat="1" ht="12.75" x14ac:dyDescent="0.2">
      <c r="A22" s="104" t="s">
        <v>26</v>
      </c>
      <c r="B22" s="103" t="s">
        <v>35</v>
      </c>
      <c r="C22" s="103" t="s">
        <v>132</v>
      </c>
      <c r="D22" s="103" t="s">
        <v>46</v>
      </c>
      <c r="E22" s="116">
        <f>C6*E15</f>
        <v>155</v>
      </c>
      <c r="F22" s="103">
        <f>C6*F15</f>
        <v>140</v>
      </c>
      <c r="G22" s="116">
        <f>C6*G15</f>
        <v>155</v>
      </c>
      <c r="H22" s="116">
        <f>C6*H15</f>
        <v>150</v>
      </c>
      <c r="I22" s="116">
        <f>C6*I15</f>
        <v>155</v>
      </c>
      <c r="J22" s="116">
        <f>C6*J15</f>
        <v>150</v>
      </c>
      <c r="K22" s="116">
        <f>C6*K15</f>
        <v>155</v>
      </c>
      <c r="L22" s="116">
        <f>C6*L15</f>
        <v>155</v>
      </c>
      <c r="M22" s="116">
        <f>C6*M15</f>
        <v>150</v>
      </c>
      <c r="N22" s="116">
        <f>C6*N15</f>
        <v>155</v>
      </c>
      <c r="O22" s="116">
        <f>C6*O15</f>
        <v>150</v>
      </c>
      <c r="P22" s="116">
        <f>C6*P15</f>
        <v>155</v>
      </c>
      <c r="Q22" s="117">
        <f>SUM(E22:P22)</f>
        <v>1825</v>
      </c>
      <c r="R22" s="103"/>
      <c r="S22" s="103"/>
      <c r="T22" s="103"/>
      <c r="U22" s="103"/>
      <c r="V22" s="103"/>
      <c r="W22" s="103"/>
      <c r="X22" s="103"/>
      <c r="Y22" s="103"/>
      <c r="Z22" s="103"/>
      <c r="AA22" s="103"/>
      <c r="AB22" s="103"/>
    </row>
    <row r="23" spans="1:131" s="1" customFormat="1" ht="12.75" x14ac:dyDescent="0.2">
      <c r="A23" s="110" t="s">
        <v>27</v>
      </c>
      <c r="B23" s="111"/>
      <c r="C23" s="111" t="s">
        <v>42</v>
      </c>
      <c r="D23" s="111" t="s">
        <v>46</v>
      </c>
      <c r="E23" s="106">
        <f t="shared" ref="E23:Q23" si="2">SUM(E21:E22)</f>
        <v>288.92</v>
      </c>
      <c r="F23" s="111">
        <f t="shared" si="2"/>
        <v>258.72000000000003</v>
      </c>
      <c r="G23" s="106">
        <f t="shared" si="2"/>
        <v>276.52</v>
      </c>
      <c r="H23" s="106">
        <f t="shared" si="2"/>
        <v>234</v>
      </c>
      <c r="I23" s="106">
        <f t="shared" si="2"/>
        <v>226.61</v>
      </c>
      <c r="J23" s="106">
        <f t="shared" si="2"/>
        <v>213</v>
      </c>
      <c r="K23" s="106">
        <f t="shared" si="2"/>
        <v>220.1</v>
      </c>
      <c r="L23" s="106">
        <f t="shared" si="2"/>
        <v>228.77999999999997</v>
      </c>
      <c r="M23" s="106">
        <f t="shared" si="2"/>
        <v>231.89999999999998</v>
      </c>
      <c r="N23" s="106">
        <f t="shared" si="2"/>
        <v>266.60000000000002</v>
      </c>
      <c r="O23" s="106">
        <f t="shared" si="2"/>
        <v>272.39999999999998</v>
      </c>
      <c r="P23" s="106">
        <f t="shared" si="2"/>
        <v>291.39999999999998</v>
      </c>
      <c r="Q23" s="118">
        <f t="shared" si="2"/>
        <v>3008.9500000000003</v>
      </c>
      <c r="R23" s="103"/>
      <c r="S23" s="103"/>
      <c r="T23" s="103"/>
      <c r="U23" s="103"/>
      <c r="V23" s="103"/>
      <c r="W23" s="103"/>
      <c r="X23" s="103"/>
      <c r="Y23" s="103"/>
      <c r="Z23" s="103"/>
      <c r="AA23" s="103"/>
      <c r="AB23" s="103"/>
    </row>
    <row r="24" spans="1:131" s="1" customFormat="1" x14ac:dyDescent="0.25">
      <c r="A24" s="113" t="s">
        <v>28</v>
      </c>
      <c r="B24" s="58"/>
      <c r="C24" s="64"/>
      <c r="D24" s="64"/>
      <c r="E24" s="114"/>
      <c r="F24" s="114"/>
      <c r="G24" s="114"/>
      <c r="H24" s="114"/>
      <c r="I24" s="114"/>
      <c r="J24" s="114"/>
      <c r="K24" s="114"/>
      <c r="L24" s="114"/>
      <c r="M24" s="114"/>
      <c r="N24" s="114"/>
      <c r="O24" s="114"/>
      <c r="P24" s="114"/>
      <c r="Q24" s="119"/>
      <c r="R24" s="103"/>
      <c r="S24" s="103"/>
      <c r="T24" s="103"/>
      <c r="U24" s="103"/>
      <c r="V24" s="103"/>
      <c r="W24" s="103"/>
      <c r="X24" s="103"/>
      <c r="Y24" s="103"/>
      <c r="Z24" s="103"/>
      <c r="AA24" s="103"/>
      <c r="AB24" s="103"/>
    </row>
    <row r="25" spans="1:131" ht="19.5" x14ac:dyDescent="0.35">
      <c r="A25" s="104" t="s">
        <v>51</v>
      </c>
      <c r="B25" s="103" t="s">
        <v>52</v>
      </c>
      <c r="C25" s="103" t="s">
        <v>153</v>
      </c>
      <c r="D25" s="103" t="s">
        <v>46</v>
      </c>
      <c r="E25" s="103">
        <f>E16*C9</f>
        <v>94</v>
      </c>
      <c r="F25" s="103">
        <f>F16*C9</f>
        <v>92.960000000000008</v>
      </c>
      <c r="G25" s="103">
        <f>G16*C9</f>
        <v>107.92000000000002</v>
      </c>
      <c r="H25" s="103">
        <f>H16*C9</f>
        <v>107.36</v>
      </c>
      <c r="I25" s="103">
        <f>I16*C9</f>
        <v>126.16</v>
      </c>
      <c r="J25" s="103">
        <f>J16*C9</f>
        <v>138.47999999999999</v>
      </c>
      <c r="K25" s="103">
        <f>K16*C9</f>
        <v>112.80000000000001</v>
      </c>
      <c r="L25" s="103">
        <f>L16*C9</f>
        <v>86.160000000000011</v>
      </c>
      <c r="M25" s="103">
        <f>M16*C9</f>
        <v>88.56</v>
      </c>
      <c r="N25" s="103">
        <f>N16*C9</f>
        <v>84.88</v>
      </c>
      <c r="O25" s="103">
        <f>O16*C9</f>
        <v>88.240000000000009</v>
      </c>
      <c r="P25" s="103">
        <f>P16*C9</f>
        <v>81.920000000000016</v>
      </c>
      <c r="Q25" s="117">
        <f>SUM(E25:P25)</f>
        <v>1209.4400000000003</v>
      </c>
      <c r="R25" s="58"/>
      <c r="S25" s="58"/>
      <c r="T25" s="58"/>
      <c r="U25" s="58"/>
      <c r="V25" s="58"/>
      <c r="W25" s="58"/>
      <c r="X25" s="58"/>
      <c r="Y25" s="58"/>
      <c r="Z25" s="58"/>
      <c r="AA25" s="58"/>
      <c r="AB25" s="58"/>
    </row>
    <row r="26" spans="1:131" ht="15" x14ac:dyDescent="0.2">
      <c r="A26" s="104" t="s">
        <v>49</v>
      </c>
      <c r="B26" s="103" t="s">
        <v>36</v>
      </c>
      <c r="C26" s="103" t="s">
        <v>50</v>
      </c>
      <c r="D26" s="103" t="s">
        <v>46</v>
      </c>
      <c r="E26" s="116">
        <f>(C5*E15)/C7</f>
        <v>0</v>
      </c>
      <c r="F26" s="116">
        <f>(C5*F15)/C7</f>
        <v>0</v>
      </c>
      <c r="G26" s="116">
        <f>(C5*G15)/C7</f>
        <v>0</v>
      </c>
      <c r="H26" s="116">
        <f>(C5*H15)/C7</f>
        <v>0</v>
      </c>
      <c r="I26" s="116">
        <f>(C5*I15)/C7</f>
        <v>0</v>
      </c>
      <c r="J26" s="116">
        <f>(C5*J15)/C7</f>
        <v>0</v>
      </c>
      <c r="K26" s="116">
        <f>(C5*K15)/C7</f>
        <v>0</v>
      </c>
      <c r="L26" s="116">
        <f>(C5*L15)/C7</f>
        <v>0</v>
      </c>
      <c r="M26" s="116">
        <f>(C5*M15)/C7</f>
        <v>0</v>
      </c>
      <c r="N26" s="116">
        <f>C5*N15/C7</f>
        <v>0</v>
      </c>
      <c r="O26" s="116">
        <f>C5*O15/C7</f>
        <v>0</v>
      </c>
      <c r="P26" s="116">
        <f>C5*P15/C7</f>
        <v>0</v>
      </c>
      <c r="Q26" s="117">
        <f>SUM(E26:P26)</f>
        <v>0</v>
      </c>
      <c r="R26" s="58"/>
      <c r="S26" s="58"/>
      <c r="T26" s="58"/>
      <c r="U26" s="58"/>
      <c r="V26" s="58"/>
      <c r="W26" s="58"/>
      <c r="X26" s="58"/>
      <c r="Y26" s="58"/>
      <c r="Z26" s="58"/>
      <c r="AA26" s="58"/>
      <c r="AB26" s="58"/>
    </row>
    <row r="27" spans="1:131" s="1" customFormat="1" ht="12.75" x14ac:dyDescent="0.2">
      <c r="A27" s="110" t="s">
        <v>29</v>
      </c>
      <c r="B27" s="111"/>
      <c r="C27" s="111" t="s">
        <v>53</v>
      </c>
      <c r="D27" s="111" t="s">
        <v>46</v>
      </c>
      <c r="E27" s="106">
        <f t="shared" ref="E27:Q27" si="3">SUM(E25,E26)</f>
        <v>94</v>
      </c>
      <c r="F27" s="106">
        <f t="shared" si="3"/>
        <v>92.960000000000008</v>
      </c>
      <c r="G27" s="106">
        <f t="shared" si="3"/>
        <v>107.92000000000002</v>
      </c>
      <c r="H27" s="106">
        <f t="shared" si="3"/>
        <v>107.36</v>
      </c>
      <c r="I27" s="106">
        <f t="shared" si="3"/>
        <v>126.16</v>
      </c>
      <c r="J27" s="106">
        <f t="shared" si="3"/>
        <v>138.47999999999999</v>
      </c>
      <c r="K27" s="106">
        <f t="shared" si="3"/>
        <v>112.80000000000001</v>
      </c>
      <c r="L27" s="106">
        <f t="shared" si="3"/>
        <v>86.160000000000011</v>
      </c>
      <c r="M27" s="106">
        <f t="shared" si="3"/>
        <v>88.56</v>
      </c>
      <c r="N27" s="106">
        <f t="shared" si="3"/>
        <v>84.88</v>
      </c>
      <c r="O27" s="106">
        <f t="shared" si="3"/>
        <v>88.240000000000009</v>
      </c>
      <c r="P27" s="106">
        <f t="shared" si="3"/>
        <v>81.920000000000016</v>
      </c>
      <c r="Q27" s="118">
        <f t="shared" si="3"/>
        <v>1209.4400000000003</v>
      </c>
      <c r="R27" s="103"/>
      <c r="S27" s="103"/>
      <c r="T27" s="103"/>
      <c r="U27" s="103"/>
      <c r="V27" s="103"/>
      <c r="W27" s="103"/>
      <c r="X27" s="103"/>
      <c r="Y27" s="103"/>
      <c r="Z27" s="103"/>
      <c r="AA27" s="103"/>
      <c r="AB27" s="103"/>
    </row>
    <row r="28" spans="1:131" s="1" customFormat="1" ht="15.75" customHeight="1" x14ac:dyDescent="0.25">
      <c r="A28" s="120" t="s">
        <v>120</v>
      </c>
      <c r="B28" s="103"/>
      <c r="C28" s="103"/>
      <c r="D28" s="103"/>
      <c r="E28" s="116"/>
      <c r="F28" s="116"/>
      <c r="G28" s="116"/>
      <c r="H28" s="116"/>
      <c r="I28" s="116"/>
      <c r="J28" s="116"/>
      <c r="K28" s="116"/>
      <c r="L28" s="116"/>
      <c r="M28" s="116"/>
      <c r="N28" s="116"/>
      <c r="O28" s="116"/>
      <c r="P28" s="116"/>
      <c r="Q28" s="117"/>
      <c r="R28" s="103"/>
      <c r="S28" s="103"/>
      <c r="T28" s="103"/>
      <c r="U28" s="103"/>
      <c r="V28" s="103"/>
      <c r="W28" s="103"/>
      <c r="X28" s="103"/>
      <c r="Y28" s="103"/>
      <c r="Z28" s="103"/>
      <c r="AA28" s="103"/>
      <c r="AB28" s="103"/>
    </row>
    <row r="29" spans="1:131" s="1" customFormat="1" ht="15" x14ac:dyDescent="0.2">
      <c r="A29" s="104" t="s">
        <v>55</v>
      </c>
      <c r="B29" s="58"/>
      <c r="C29" s="64"/>
      <c r="D29" s="103" t="s">
        <v>46</v>
      </c>
      <c r="E29" s="116">
        <v>0</v>
      </c>
      <c r="F29" s="116">
        <f t="shared" ref="F29:P29" si="4">E31</f>
        <v>0</v>
      </c>
      <c r="G29" s="116">
        <f t="shared" si="4"/>
        <v>0</v>
      </c>
      <c r="H29" s="116">
        <f t="shared" si="4"/>
        <v>0</v>
      </c>
      <c r="I29" s="116">
        <f t="shared" si="4"/>
        <v>0</v>
      </c>
      <c r="J29" s="116">
        <f t="shared" si="4"/>
        <v>0</v>
      </c>
      <c r="K29" s="116">
        <f t="shared" si="4"/>
        <v>0</v>
      </c>
      <c r="L29" s="116">
        <f t="shared" si="4"/>
        <v>0</v>
      </c>
      <c r="M29" s="116">
        <f t="shared" si="4"/>
        <v>0</v>
      </c>
      <c r="N29" s="116">
        <f t="shared" si="4"/>
        <v>0</v>
      </c>
      <c r="O29" s="116">
        <f t="shared" si="4"/>
        <v>0</v>
      </c>
      <c r="P29" s="116">
        <f t="shared" si="4"/>
        <v>0</v>
      </c>
      <c r="Q29" s="117"/>
      <c r="R29" s="103"/>
      <c r="S29" s="103"/>
      <c r="T29" s="103"/>
      <c r="U29" s="103"/>
      <c r="V29" s="103"/>
      <c r="W29" s="103"/>
      <c r="X29" s="103"/>
      <c r="Y29" s="103"/>
      <c r="Z29" s="103"/>
      <c r="AA29" s="103"/>
      <c r="AB29" s="103"/>
    </row>
    <row r="30" spans="1:131" s="1" customFormat="1" ht="12.75" x14ac:dyDescent="0.2">
      <c r="A30" s="104" t="s">
        <v>121</v>
      </c>
      <c r="B30" s="103" t="s">
        <v>37</v>
      </c>
      <c r="C30" s="103" t="s">
        <v>54</v>
      </c>
      <c r="D30" s="103" t="s">
        <v>46</v>
      </c>
      <c r="E30" s="116">
        <f t="shared" ref="E30:P30" si="5">E27-E23</f>
        <v>-194.92000000000002</v>
      </c>
      <c r="F30" s="116">
        <f t="shared" si="5"/>
        <v>-165.76000000000002</v>
      </c>
      <c r="G30" s="116">
        <f t="shared" si="5"/>
        <v>-168.59999999999997</v>
      </c>
      <c r="H30" s="116">
        <f t="shared" si="5"/>
        <v>-126.64</v>
      </c>
      <c r="I30" s="116">
        <f t="shared" si="5"/>
        <v>-100.45000000000002</v>
      </c>
      <c r="J30" s="116">
        <f t="shared" si="5"/>
        <v>-74.52000000000001</v>
      </c>
      <c r="K30" s="116">
        <f t="shared" si="5"/>
        <v>-107.29999999999998</v>
      </c>
      <c r="L30" s="116">
        <f t="shared" si="5"/>
        <v>-142.61999999999995</v>
      </c>
      <c r="M30" s="116">
        <f t="shared" si="5"/>
        <v>-143.33999999999997</v>
      </c>
      <c r="N30" s="116">
        <f t="shared" si="5"/>
        <v>-181.72000000000003</v>
      </c>
      <c r="O30" s="116">
        <f t="shared" si="5"/>
        <v>-184.15999999999997</v>
      </c>
      <c r="P30" s="116">
        <f t="shared" si="5"/>
        <v>-209.47999999999996</v>
      </c>
      <c r="Q30" s="117"/>
      <c r="R30" s="103"/>
      <c r="S30" s="103"/>
      <c r="T30" s="103"/>
      <c r="U30" s="103"/>
      <c r="V30" s="103"/>
      <c r="W30" s="103"/>
      <c r="X30" s="103"/>
      <c r="Y30" s="103"/>
      <c r="Z30" s="103"/>
      <c r="AA30" s="103"/>
      <c r="AB30" s="103"/>
    </row>
    <row r="31" spans="1:131" s="3" customFormat="1" ht="12.75" x14ac:dyDescent="0.2">
      <c r="A31" s="104" t="s">
        <v>30</v>
      </c>
      <c r="B31" s="103" t="s">
        <v>38</v>
      </c>
      <c r="C31" s="103"/>
      <c r="D31" s="103" t="s">
        <v>47</v>
      </c>
      <c r="E31" s="116">
        <f t="shared" ref="E31:P31" si="6">IF(E29+E30&gt;0,E29+E30,0)</f>
        <v>0</v>
      </c>
      <c r="F31" s="116">
        <f t="shared" si="6"/>
        <v>0</v>
      </c>
      <c r="G31" s="116">
        <f t="shared" si="6"/>
        <v>0</v>
      </c>
      <c r="H31" s="116">
        <f t="shared" si="6"/>
        <v>0</v>
      </c>
      <c r="I31" s="116">
        <f t="shared" si="6"/>
        <v>0</v>
      </c>
      <c r="J31" s="116">
        <f t="shared" si="6"/>
        <v>0</v>
      </c>
      <c r="K31" s="116">
        <f t="shared" si="6"/>
        <v>0</v>
      </c>
      <c r="L31" s="116">
        <f t="shared" si="6"/>
        <v>0</v>
      </c>
      <c r="M31" s="116">
        <f t="shared" si="6"/>
        <v>0</v>
      </c>
      <c r="N31" s="116">
        <f t="shared" si="6"/>
        <v>0</v>
      </c>
      <c r="O31" s="116">
        <f t="shared" si="6"/>
        <v>0</v>
      </c>
      <c r="P31" s="116">
        <f t="shared" si="6"/>
        <v>0</v>
      </c>
      <c r="Q31" s="117"/>
      <c r="R31" s="64"/>
      <c r="S31" s="64"/>
      <c r="T31" s="64"/>
      <c r="U31" s="64"/>
      <c r="V31" s="64"/>
      <c r="W31" s="64"/>
      <c r="X31" s="64"/>
      <c r="Y31" s="64"/>
      <c r="Z31" s="64"/>
      <c r="AA31" s="64"/>
      <c r="AB31" s="64"/>
    </row>
    <row r="32" spans="1:131" s="3" customFormat="1" x14ac:dyDescent="0.25">
      <c r="A32" s="104" t="s">
        <v>122</v>
      </c>
      <c r="B32" s="114" t="s">
        <v>43</v>
      </c>
      <c r="C32" s="103"/>
      <c r="D32" s="103" t="s">
        <v>47</v>
      </c>
      <c r="E32" s="121">
        <f>MAX(E31:P31)</f>
        <v>0</v>
      </c>
      <c r="F32" s="116"/>
      <c r="G32" s="116"/>
      <c r="H32" s="116"/>
      <c r="I32" s="116"/>
      <c r="J32" s="116"/>
      <c r="K32" s="116"/>
      <c r="L32" s="116"/>
      <c r="M32" s="116"/>
      <c r="N32" s="116"/>
      <c r="O32" s="116"/>
      <c r="P32" s="116"/>
      <c r="Q32" s="117"/>
      <c r="R32" s="64"/>
      <c r="S32" s="64"/>
      <c r="T32" s="64"/>
      <c r="U32" s="64"/>
      <c r="V32" s="64"/>
      <c r="W32" s="64"/>
      <c r="X32" s="64"/>
      <c r="Y32" s="64"/>
      <c r="Z32" s="64"/>
      <c r="AA32" s="64"/>
      <c r="AB32" s="64"/>
    </row>
    <row r="33" spans="1:28" s="3" customFormat="1" x14ac:dyDescent="0.25">
      <c r="A33" s="122"/>
      <c r="B33" s="74" t="s">
        <v>40</v>
      </c>
      <c r="C33" s="111" t="s">
        <v>48</v>
      </c>
      <c r="D33" s="111" t="s">
        <v>39</v>
      </c>
      <c r="E33" s="123">
        <f>E32*C7</f>
        <v>0</v>
      </c>
      <c r="F33" s="106"/>
      <c r="G33" s="106"/>
      <c r="H33" s="106"/>
      <c r="I33" s="106"/>
      <c r="J33" s="106"/>
      <c r="K33" s="106"/>
      <c r="L33" s="106"/>
      <c r="M33" s="106"/>
      <c r="N33" s="106"/>
      <c r="O33" s="106"/>
      <c r="P33" s="106"/>
      <c r="Q33" s="118"/>
      <c r="R33" s="64"/>
      <c r="S33" s="64"/>
      <c r="T33" s="64"/>
      <c r="U33" s="64"/>
      <c r="V33" s="64"/>
      <c r="W33" s="64"/>
      <c r="X33" s="64"/>
      <c r="Y33" s="64"/>
      <c r="Z33" s="64"/>
      <c r="AA33" s="64"/>
      <c r="AB33" s="64"/>
    </row>
    <row r="34" spans="1:28" s="3" customFormat="1" x14ac:dyDescent="0.25">
      <c r="A34" s="113" t="s">
        <v>123</v>
      </c>
      <c r="B34" s="58"/>
      <c r="C34" s="124"/>
      <c r="D34" s="103" t="s">
        <v>89</v>
      </c>
      <c r="E34" s="125">
        <f>C5*E15/(E21-E25+E22)</f>
        <v>0</v>
      </c>
      <c r="F34" s="125">
        <f>C5*F15/(F21-F25+F22)</f>
        <v>0</v>
      </c>
      <c r="G34" s="125">
        <f>C5*G15/(G21-G25+G22)</f>
        <v>0</v>
      </c>
      <c r="H34" s="125">
        <f>C5*H15/(H21-H25+H22)</f>
        <v>0</v>
      </c>
      <c r="I34" s="125">
        <f>C5*I15/(I21-I25+I22)</f>
        <v>0</v>
      </c>
      <c r="J34" s="125">
        <f>C5*J15/(J21-J25+J22)</f>
        <v>0</v>
      </c>
      <c r="K34" s="125">
        <f>C5*K15/(K21-K25+K22)</f>
        <v>0</v>
      </c>
      <c r="L34" s="125">
        <f>C5*L15/(L21-L25+L22)</f>
        <v>0</v>
      </c>
      <c r="M34" s="125">
        <f>C5*M15/(M21-M25+M22)</f>
        <v>0</v>
      </c>
      <c r="N34" s="125">
        <f>C5*N15/(N21-N25+N22)</f>
        <v>0</v>
      </c>
      <c r="O34" s="125">
        <f>C5*O15/(O21-O25+O22)</f>
        <v>0</v>
      </c>
      <c r="P34" s="125">
        <f>C5*P15/(P21-P25+P22)</f>
        <v>0</v>
      </c>
      <c r="Q34" s="126"/>
      <c r="R34" s="64"/>
      <c r="S34" s="64"/>
      <c r="T34" s="64"/>
      <c r="U34" s="64"/>
      <c r="V34" s="64"/>
      <c r="W34" s="64"/>
      <c r="X34" s="64"/>
      <c r="Y34" s="64"/>
      <c r="Z34" s="64"/>
      <c r="AA34" s="64"/>
      <c r="AB34" s="64"/>
    </row>
    <row r="35" spans="1:28" s="1" customFormat="1" x14ac:dyDescent="0.25">
      <c r="A35" s="127"/>
      <c r="B35" s="114"/>
      <c r="C35" s="103"/>
      <c r="D35" s="103"/>
      <c r="E35" s="128"/>
      <c r="F35" s="129"/>
      <c r="G35" s="129"/>
      <c r="H35" s="129"/>
      <c r="I35" s="114"/>
      <c r="J35" s="114"/>
      <c r="K35" s="114"/>
      <c r="L35" s="114"/>
      <c r="M35" s="114"/>
      <c r="N35" s="114"/>
      <c r="O35" s="114"/>
      <c r="P35" s="114"/>
      <c r="Q35" s="130"/>
      <c r="R35" s="103"/>
      <c r="S35" s="116"/>
      <c r="T35" s="103"/>
      <c r="U35" s="103"/>
      <c r="V35" s="103"/>
      <c r="W35" s="103"/>
      <c r="X35" s="103"/>
      <c r="Y35" s="103"/>
      <c r="Z35" s="103"/>
      <c r="AA35" s="103"/>
      <c r="AB35" s="103"/>
    </row>
    <row r="36" spans="1:28" s="1" customFormat="1" ht="18.75" x14ac:dyDescent="0.25">
      <c r="A36" s="131" t="s">
        <v>124</v>
      </c>
      <c r="B36" s="132"/>
      <c r="C36" s="132"/>
      <c r="D36" s="133"/>
      <c r="E36" s="134">
        <f>IF(E33&gt;0,"Storage Required",MAX(E34:P34))</f>
        <v>0</v>
      </c>
      <c r="F36" s="103"/>
      <c r="G36" s="58" t="s">
        <v>113</v>
      </c>
      <c r="H36" s="114"/>
      <c r="I36" s="114"/>
      <c r="J36" s="114"/>
      <c r="K36" s="114"/>
      <c r="L36" s="114"/>
      <c r="M36" s="114"/>
      <c r="N36" s="114"/>
      <c r="O36" s="114"/>
      <c r="P36" s="114"/>
      <c r="Q36" s="115"/>
      <c r="R36" s="103"/>
      <c r="S36" s="103"/>
      <c r="T36" s="103"/>
      <c r="U36" s="103"/>
      <c r="V36" s="103"/>
      <c r="W36" s="103"/>
      <c r="X36" s="103"/>
      <c r="Y36" s="103"/>
      <c r="Z36" s="103"/>
      <c r="AA36" s="103"/>
      <c r="AB36" s="103"/>
    </row>
    <row r="37" spans="1:28" ht="16.5" thickBot="1" x14ac:dyDescent="0.3">
      <c r="A37" s="135"/>
      <c r="B37" s="136"/>
      <c r="C37" s="136"/>
      <c r="D37" s="136"/>
      <c r="E37" s="136"/>
      <c r="F37" s="136"/>
      <c r="G37" s="136"/>
      <c r="H37" s="136"/>
      <c r="I37" s="136"/>
      <c r="J37" s="136"/>
      <c r="K37" s="136"/>
      <c r="L37" s="136"/>
      <c r="M37" s="136"/>
      <c r="N37" s="136"/>
      <c r="O37" s="136"/>
      <c r="P37" s="136"/>
      <c r="Q37" s="137"/>
      <c r="R37" s="58"/>
      <c r="S37" s="58"/>
      <c r="T37" s="58"/>
      <c r="U37" s="58"/>
      <c r="V37" s="58"/>
      <c r="W37" s="58"/>
      <c r="X37" s="58"/>
      <c r="Y37" s="58"/>
      <c r="Z37" s="58"/>
      <c r="AA37" s="58"/>
      <c r="AB37" s="58"/>
    </row>
    <row r="38" spans="1:28" x14ac:dyDescent="0.25">
      <c r="A38" s="58"/>
      <c r="B38" s="58"/>
      <c r="C38" s="64"/>
      <c r="D38" s="64"/>
      <c r="E38" s="58"/>
      <c r="F38" s="58"/>
      <c r="G38" s="58"/>
      <c r="H38" s="58"/>
      <c r="I38" s="58"/>
      <c r="J38" s="58"/>
      <c r="K38" s="58"/>
      <c r="L38" s="58"/>
      <c r="M38" s="58"/>
      <c r="N38" s="58"/>
      <c r="O38" s="58"/>
      <c r="P38" s="58"/>
      <c r="Q38" s="59"/>
      <c r="R38" s="58"/>
      <c r="S38" s="58"/>
      <c r="T38" s="58"/>
      <c r="U38" s="58"/>
      <c r="V38" s="58"/>
      <c r="W38" s="58"/>
      <c r="X38" s="58"/>
      <c r="Y38" s="58"/>
      <c r="Z38" s="58"/>
      <c r="AA38" s="58"/>
      <c r="AB38" s="58"/>
    </row>
    <row r="39" spans="1:28" x14ac:dyDescent="0.25">
      <c r="A39" s="58" t="s">
        <v>155</v>
      </c>
      <c r="B39" s="58"/>
      <c r="C39" s="64"/>
      <c r="D39" s="64"/>
      <c r="E39" s="58"/>
      <c r="F39" s="58"/>
      <c r="G39" s="58"/>
      <c r="H39" s="58"/>
      <c r="I39" s="58"/>
      <c r="J39" s="58"/>
      <c r="K39" s="58"/>
      <c r="L39" s="58"/>
      <c r="M39" s="58"/>
      <c r="N39" s="58"/>
      <c r="O39" s="58"/>
      <c r="P39" s="58"/>
      <c r="Q39" s="59"/>
      <c r="R39" s="58"/>
      <c r="S39" s="58"/>
      <c r="T39" s="58"/>
      <c r="U39" s="58"/>
      <c r="V39" s="58"/>
      <c r="W39" s="58"/>
      <c r="X39" s="58"/>
      <c r="Y39" s="58"/>
      <c r="Z39" s="58"/>
      <c r="AA39" s="58"/>
      <c r="AB39" s="58"/>
    </row>
    <row r="40" spans="1:28" ht="27.75" customHeight="1" x14ac:dyDescent="0.2">
      <c r="A40" s="138" t="s">
        <v>194</v>
      </c>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58"/>
      <c r="AA40" s="58"/>
      <c r="AB40" s="58"/>
    </row>
    <row r="41" spans="1:28" x14ac:dyDescent="0.25">
      <c r="A41" s="58" t="s">
        <v>164</v>
      </c>
      <c r="B41" s="58"/>
      <c r="C41" s="64"/>
      <c r="D41" s="64"/>
      <c r="E41" s="58"/>
      <c r="F41" s="58"/>
      <c r="G41" s="58"/>
      <c r="H41" s="58"/>
      <c r="I41" s="58"/>
      <c r="J41" s="58"/>
      <c r="K41" s="58"/>
      <c r="L41" s="58"/>
      <c r="M41" s="58"/>
      <c r="N41" s="58"/>
      <c r="O41" s="58"/>
      <c r="P41" s="58"/>
      <c r="Q41" s="59"/>
      <c r="R41" s="58"/>
      <c r="S41" s="58"/>
      <c r="T41" s="58"/>
      <c r="U41" s="58"/>
      <c r="V41" s="58"/>
      <c r="W41" s="58"/>
      <c r="X41" s="58"/>
      <c r="Y41" s="58"/>
      <c r="Z41" s="58"/>
      <c r="AA41" s="58"/>
      <c r="AB41" s="58"/>
    </row>
    <row r="42" spans="1:28" x14ac:dyDescent="0.25">
      <c r="A42" s="58" t="s">
        <v>165</v>
      </c>
      <c r="B42" s="58"/>
      <c r="C42" s="64"/>
      <c r="D42" s="64"/>
      <c r="E42" s="58"/>
      <c r="F42" s="58"/>
      <c r="G42" s="58"/>
      <c r="H42" s="58"/>
      <c r="I42" s="58"/>
      <c r="J42" s="58"/>
      <c r="K42" s="58"/>
      <c r="L42" s="58"/>
      <c r="M42" s="58"/>
      <c r="N42" s="58"/>
      <c r="O42" s="58"/>
      <c r="P42" s="58"/>
      <c r="Q42" s="59"/>
      <c r="R42" s="58"/>
      <c r="S42" s="58"/>
      <c r="T42" s="58"/>
      <c r="U42" s="58"/>
      <c r="V42" s="58"/>
      <c r="W42" s="58"/>
      <c r="X42" s="58"/>
      <c r="Y42" s="58"/>
      <c r="Z42" s="58"/>
      <c r="AA42" s="58"/>
      <c r="AB42" s="58"/>
    </row>
    <row r="43" spans="1:28" x14ac:dyDescent="0.25">
      <c r="A43" s="58" t="s">
        <v>166</v>
      </c>
      <c r="B43" s="58"/>
      <c r="C43" s="64"/>
      <c r="D43" s="64"/>
      <c r="E43" s="58"/>
      <c r="F43" s="58"/>
      <c r="G43" s="58"/>
      <c r="H43" s="58"/>
      <c r="I43" s="58"/>
      <c r="J43" s="58"/>
      <c r="K43" s="58"/>
      <c r="L43" s="58"/>
      <c r="M43" s="58"/>
      <c r="N43" s="58"/>
      <c r="O43" s="58"/>
      <c r="P43" s="58"/>
      <c r="Q43" s="59"/>
      <c r="R43" s="58"/>
      <c r="S43" s="58"/>
      <c r="T43" s="58"/>
      <c r="U43" s="58"/>
      <c r="V43" s="58"/>
      <c r="W43" s="58"/>
      <c r="X43" s="58"/>
      <c r="Y43" s="58"/>
      <c r="Z43" s="58"/>
      <c r="AA43" s="58"/>
      <c r="AB43" s="58"/>
    </row>
    <row r="44" spans="1:28" x14ac:dyDescent="0.25">
      <c r="A44" s="58" t="s">
        <v>156</v>
      </c>
      <c r="B44" s="58"/>
      <c r="C44" s="64"/>
      <c r="D44" s="64"/>
      <c r="E44" s="58"/>
      <c r="F44" s="58"/>
      <c r="G44" s="58"/>
      <c r="H44" s="58"/>
      <c r="I44" s="58"/>
      <c r="J44" s="58"/>
      <c r="K44" s="58"/>
      <c r="L44" s="58"/>
      <c r="M44" s="58"/>
      <c r="N44" s="58"/>
      <c r="O44" s="58"/>
      <c r="P44" s="58"/>
      <c r="Q44" s="59"/>
      <c r="R44" s="58"/>
      <c r="S44" s="58"/>
      <c r="T44" s="58"/>
      <c r="U44" s="58"/>
      <c r="V44" s="58"/>
      <c r="W44" s="58"/>
      <c r="X44" s="58"/>
      <c r="Y44" s="58"/>
      <c r="Z44" s="58"/>
      <c r="AA44" s="58"/>
      <c r="AB44" s="58"/>
    </row>
    <row r="45" spans="1:28" x14ac:dyDescent="0.25">
      <c r="A45" s="58" t="s">
        <v>167</v>
      </c>
      <c r="B45" s="58"/>
      <c r="C45" s="64"/>
      <c r="D45" s="64"/>
      <c r="E45" s="58"/>
      <c r="F45" s="58"/>
      <c r="G45" s="58"/>
      <c r="H45" s="58"/>
      <c r="I45" s="58"/>
      <c r="J45" s="58"/>
      <c r="K45" s="58"/>
      <c r="L45" s="58"/>
      <c r="M45" s="58"/>
      <c r="N45" s="58"/>
      <c r="O45" s="58"/>
      <c r="P45" s="58"/>
      <c r="Q45" s="59"/>
      <c r="R45" s="58"/>
      <c r="S45" s="58"/>
      <c r="T45" s="58"/>
      <c r="U45" s="58"/>
      <c r="V45" s="58"/>
      <c r="W45" s="58"/>
      <c r="X45" s="58"/>
      <c r="Y45" s="58"/>
      <c r="Z45" s="58"/>
      <c r="AA45" s="58"/>
      <c r="AB45" s="58"/>
    </row>
    <row r="46" spans="1:28" ht="29.25" customHeight="1" x14ac:dyDescent="0.2">
      <c r="A46" s="138" t="s">
        <v>187</v>
      </c>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58"/>
      <c r="AA46" s="58"/>
      <c r="AB46" s="58"/>
    </row>
  </sheetData>
  <sheetProtection algorithmName="SHA-512" hashValue="GUcDfQ2xtElQrC+K4NqRSSD43utFcYyUHqp+9vDYyZNUhl3mjqfyLqR7P1cDZnb0NtN4lSfy2CB/TgnUtuABgA==" saltValue="SmPdcCFwTAU7XKrFdl0yng==" spinCount="100000" sheet="1" objects="1" scenarios="1"/>
  <mergeCells count="7">
    <mergeCell ref="A40:Y40"/>
    <mergeCell ref="A46:Y46"/>
    <mergeCell ref="A36:D36"/>
    <mergeCell ref="A1:L1"/>
    <mergeCell ref="B11:D11"/>
    <mergeCell ref="B2:Q2"/>
    <mergeCell ref="N7:O7"/>
  </mergeCells>
  <phoneticPr fontId="0" type="noConversion"/>
  <pageMargins left="0.74803149606299213" right="0.74803149606299213" top="0.98425196850393704" bottom="0.98425196850393704" header="0.51181102362204722" footer="0.51181102362204722"/>
  <pageSetup paperSize="9" scale="64" orientation="landscape" horizontalDpi="300" verticalDpi="300" r:id="rId1"/>
  <headerFooter alignWithMargins="0"/>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T55"/>
  <sheetViews>
    <sheetView zoomScale="70" zoomScaleNormal="70" workbookViewId="0">
      <selection activeCell="E30" sqref="E30:H30"/>
    </sheetView>
  </sheetViews>
  <sheetFormatPr defaultColWidth="8" defaultRowHeight="12.75" x14ac:dyDescent="0.2"/>
  <cols>
    <col min="1" max="1" width="32" style="6" customWidth="1"/>
    <col min="2" max="2" width="8.75" style="6" customWidth="1"/>
    <col min="3" max="3" width="11.125" style="6" bestFit="1" customWidth="1"/>
    <col min="4" max="4" width="10.25" style="6" customWidth="1"/>
    <col min="5" max="5" width="9.25" style="6" customWidth="1"/>
    <col min="6" max="6" width="10.75" style="6" customWidth="1"/>
    <col min="7" max="7" width="10" style="6" customWidth="1"/>
    <col min="8" max="8" width="10.75" style="6" customWidth="1"/>
    <col min="9" max="9" width="10.25" style="6" customWidth="1"/>
    <col min="10" max="10" width="10.75" style="6" customWidth="1"/>
    <col min="11" max="11" width="11.25" style="6" customWidth="1"/>
    <col min="12" max="12" width="8" style="6"/>
    <col min="13" max="13" width="15.75" style="6" customWidth="1"/>
    <col min="14" max="14" width="9.875" style="6" customWidth="1"/>
    <col min="15" max="15" width="13" style="6" customWidth="1"/>
    <col min="16" max="16" width="9.875" style="6" customWidth="1"/>
    <col min="17" max="17" width="12.75" style="6" customWidth="1"/>
    <col min="18" max="16384" width="8" style="6"/>
  </cols>
  <sheetData>
    <row r="1" spans="1:20" s="5" customFormat="1" ht="29.25" customHeight="1" x14ac:dyDescent="0.4">
      <c r="A1" s="139" t="s">
        <v>117</v>
      </c>
      <c r="B1" s="140"/>
      <c r="C1" s="17"/>
      <c r="D1" s="139"/>
      <c r="E1" s="17"/>
      <c r="F1" s="17"/>
      <c r="G1" s="17"/>
      <c r="H1" s="17"/>
      <c r="I1" s="17"/>
      <c r="J1" s="17"/>
      <c r="K1" s="17"/>
      <c r="L1" s="16"/>
      <c r="M1" s="16"/>
      <c r="N1" s="16"/>
      <c r="O1" s="16"/>
      <c r="P1" s="16"/>
      <c r="Q1" s="16"/>
      <c r="R1" s="16"/>
      <c r="S1" s="16"/>
      <c r="T1" s="16"/>
    </row>
    <row r="2" spans="1:20" s="5" customFormat="1" ht="30.75" customHeight="1" x14ac:dyDescent="0.4">
      <c r="A2" s="60" t="s">
        <v>118</v>
      </c>
      <c r="B2" s="140" t="s">
        <v>197</v>
      </c>
      <c r="C2" s="17"/>
      <c r="D2" s="139"/>
      <c r="E2" s="17"/>
      <c r="F2" s="17"/>
      <c r="G2" s="17"/>
      <c r="H2" s="17"/>
      <c r="I2" s="17"/>
      <c r="J2" s="17"/>
      <c r="K2" s="17"/>
      <c r="L2" s="16"/>
      <c r="M2" s="16"/>
      <c r="N2" s="16"/>
      <c r="O2" s="16"/>
      <c r="P2" s="16"/>
      <c r="Q2" s="16"/>
      <c r="R2" s="16"/>
      <c r="S2" s="16"/>
      <c r="T2" s="16"/>
    </row>
    <row r="3" spans="1:20" s="5" customFormat="1" ht="21" customHeight="1" thickBot="1" x14ac:dyDescent="0.3">
      <c r="A3" s="141" t="s">
        <v>60</v>
      </c>
      <c r="B3" s="141"/>
      <c r="C3" s="141"/>
      <c r="D3" s="141"/>
      <c r="E3" s="141"/>
      <c r="F3" s="141"/>
      <c r="G3" s="141"/>
      <c r="H3" s="141"/>
      <c r="I3" s="141"/>
      <c r="J3" s="16"/>
      <c r="K3" s="16"/>
      <c r="L3" s="16"/>
      <c r="M3" s="16"/>
      <c r="N3" s="16"/>
      <c r="O3" s="16"/>
      <c r="P3" s="16"/>
      <c r="Q3" s="16"/>
      <c r="R3" s="16"/>
      <c r="S3" s="16"/>
      <c r="T3" s="16"/>
    </row>
    <row r="4" spans="1:20" s="5" customFormat="1" ht="24" customHeight="1" thickBot="1" x14ac:dyDescent="0.3">
      <c r="A4" s="142" t="s">
        <v>188</v>
      </c>
      <c r="B4" s="143"/>
      <c r="C4" s="143"/>
      <c r="D4" s="143"/>
      <c r="E4" s="143"/>
      <c r="F4" s="143"/>
      <c r="G4" s="143"/>
      <c r="H4" s="143"/>
      <c r="I4" s="144"/>
      <c r="J4" s="145">
        <f>MAX(B18,B19,H18)</f>
        <v>0</v>
      </c>
      <c r="K4" s="146" t="s">
        <v>61</v>
      </c>
      <c r="L4" s="16"/>
      <c r="M4" s="16"/>
      <c r="N4" s="16"/>
      <c r="O4" s="16"/>
      <c r="P4" s="16"/>
      <c r="Q4" s="16"/>
      <c r="R4" s="16"/>
      <c r="S4" s="16"/>
      <c r="T4" s="16"/>
    </row>
    <row r="5" spans="1:20" ht="13.5" thickBot="1" x14ac:dyDescent="0.25">
      <c r="A5" s="17"/>
      <c r="B5" s="17"/>
      <c r="C5" s="17"/>
      <c r="D5" s="17"/>
      <c r="E5" s="17"/>
      <c r="F5" s="17"/>
      <c r="G5" s="17"/>
      <c r="H5" s="17"/>
      <c r="I5" s="17"/>
      <c r="J5" s="17"/>
      <c r="K5" s="17"/>
      <c r="L5" s="17"/>
      <c r="M5" s="17"/>
      <c r="N5" s="17"/>
      <c r="O5" s="17"/>
      <c r="P5" s="17"/>
      <c r="Q5" s="17"/>
      <c r="R5" s="17"/>
      <c r="S5" s="17"/>
      <c r="T5" s="17"/>
    </row>
    <row r="6" spans="1:20" ht="21.75" customHeight="1" thickBot="1" x14ac:dyDescent="0.3">
      <c r="A6" s="147" t="s">
        <v>63</v>
      </c>
      <c r="B6" s="148"/>
      <c r="C6" s="148"/>
      <c r="D6" s="148"/>
      <c r="E6" s="148"/>
      <c r="F6" s="148"/>
      <c r="G6" s="148"/>
      <c r="H6" s="148"/>
      <c r="I6" s="148"/>
      <c r="J6" s="148"/>
      <c r="K6" s="149"/>
      <c r="L6" s="17"/>
      <c r="M6" s="59" t="s">
        <v>169</v>
      </c>
      <c r="N6" s="17"/>
      <c r="O6" s="17"/>
      <c r="P6" s="17"/>
      <c r="Q6" s="17"/>
      <c r="R6" s="17"/>
      <c r="S6" s="17"/>
      <c r="T6" s="17"/>
    </row>
    <row r="7" spans="1:20" x14ac:dyDescent="0.2">
      <c r="A7" s="150" t="s">
        <v>64</v>
      </c>
      <c r="B7" s="151"/>
      <c r="C7" s="151"/>
      <c r="D7" s="152"/>
      <c r="E7" s="150" t="s">
        <v>65</v>
      </c>
      <c r="F7" s="151"/>
      <c r="G7" s="151"/>
      <c r="H7" s="151"/>
      <c r="I7" s="151"/>
      <c r="J7" s="151"/>
      <c r="K7" s="152"/>
      <c r="L7" s="17"/>
      <c r="M7" s="18" t="s">
        <v>170</v>
      </c>
      <c r="N7" s="19"/>
      <c r="O7" s="20"/>
      <c r="P7" s="21" t="s">
        <v>88</v>
      </c>
      <c r="Q7" s="21" t="s">
        <v>91</v>
      </c>
      <c r="R7" s="21" t="s">
        <v>148</v>
      </c>
      <c r="S7" s="17"/>
      <c r="T7" s="17"/>
    </row>
    <row r="8" spans="1:20" ht="14.25" x14ac:dyDescent="0.2">
      <c r="A8" s="153" t="s">
        <v>66</v>
      </c>
      <c r="B8" s="154"/>
      <c r="C8" s="155">
        <f>'Water Balance'!C5</f>
        <v>0</v>
      </c>
      <c r="D8" s="156" t="s">
        <v>67</v>
      </c>
      <c r="E8" s="153" t="s">
        <v>68</v>
      </c>
      <c r="F8" s="157"/>
      <c r="G8" s="158">
        <f>'Summary Calculations'!F30</f>
        <v>200</v>
      </c>
      <c r="H8" s="31" t="s">
        <v>69</v>
      </c>
      <c r="I8" s="31" t="s">
        <v>70</v>
      </c>
      <c r="J8" s="159">
        <f>G8/10000/365*1000000</f>
        <v>54.794520547945204</v>
      </c>
      <c r="K8" s="156" t="s">
        <v>112</v>
      </c>
      <c r="L8" s="17"/>
      <c r="M8" s="18" t="s">
        <v>171</v>
      </c>
      <c r="N8" s="19"/>
      <c r="O8" s="20"/>
      <c r="P8" s="22">
        <v>30</v>
      </c>
      <c r="Q8" s="22">
        <v>10</v>
      </c>
      <c r="R8" s="21" t="s">
        <v>72</v>
      </c>
      <c r="S8" s="17"/>
      <c r="T8" s="17"/>
    </row>
    <row r="9" spans="1:20" ht="14.25" x14ac:dyDescent="0.2">
      <c r="A9" s="160" t="s">
        <v>71</v>
      </c>
      <c r="B9" s="157"/>
      <c r="C9" s="158">
        <f>'Summary Calculations'!E25</f>
        <v>20</v>
      </c>
      <c r="D9" s="156" t="s">
        <v>72</v>
      </c>
      <c r="E9" s="161" t="s">
        <v>73</v>
      </c>
      <c r="F9" s="162"/>
      <c r="G9" s="158">
        <f>'Summary Calculations'!G30</f>
        <v>20</v>
      </c>
      <c r="H9" s="31" t="s">
        <v>69</v>
      </c>
      <c r="I9" s="31" t="s">
        <v>70</v>
      </c>
      <c r="J9" s="159">
        <f>G9/10000/365*1000000</f>
        <v>5.4794520547945211</v>
      </c>
      <c r="K9" s="156" t="s">
        <v>112</v>
      </c>
      <c r="L9" s="17"/>
      <c r="M9" s="18" t="s">
        <v>172</v>
      </c>
      <c r="N9" s="19"/>
      <c r="O9" s="20"/>
      <c r="P9" s="22">
        <v>18.11</v>
      </c>
      <c r="Q9" s="22">
        <v>1.33</v>
      </c>
      <c r="R9" s="21" t="s">
        <v>72</v>
      </c>
      <c r="S9" s="17"/>
      <c r="T9" s="17"/>
    </row>
    <row r="10" spans="1:20" x14ac:dyDescent="0.2">
      <c r="A10" s="163" t="s">
        <v>130</v>
      </c>
      <c r="B10" s="164"/>
      <c r="C10" s="23">
        <v>0.2</v>
      </c>
      <c r="D10" s="156" t="s">
        <v>74</v>
      </c>
      <c r="E10" s="165" t="s">
        <v>75</v>
      </c>
      <c r="F10" s="166"/>
      <c r="G10" s="166"/>
      <c r="H10" s="166"/>
      <c r="I10" s="166"/>
      <c r="J10" s="166"/>
      <c r="K10" s="167"/>
      <c r="L10" s="17"/>
      <c r="M10" s="18" t="s">
        <v>173</v>
      </c>
      <c r="N10" s="19"/>
      <c r="O10" s="20"/>
      <c r="P10" s="22">
        <v>8.2899999999999991</v>
      </c>
      <c r="Q10" s="22">
        <v>0.24</v>
      </c>
      <c r="R10" s="21" t="s">
        <v>72</v>
      </c>
      <c r="S10" s="17"/>
      <c r="T10" s="17"/>
    </row>
    <row r="11" spans="1:20" x14ac:dyDescent="0.2">
      <c r="A11" s="163" t="s">
        <v>126</v>
      </c>
      <c r="B11" s="164"/>
      <c r="C11" s="168">
        <f>(C10*(C8*C9))</f>
        <v>0</v>
      </c>
      <c r="D11" s="156" t="s">
        <v>131</v>
      </c>
      <c r="E11" s="161" t="s">
        <v>76</v>
      </c>
      <c r="F11" s="162"/>
      <c r="G11" s="158">
        <f>'Summary Calculations'!I16</f>
        <v>170</v>
      </c>
      <c r="H11" s="31" t="s">
        <v>77</v>
      </c>
      <c r="I11" s="31" t="s">
        <v>70</v>
      </c>
      <c r="J11" s="169">
        <f>B29*10000</f>
        <v>1530.0000000000002</v>
      </c>
      <c r="K11" s="156" t="s">
        <v>78</v>
      </c>
      <c r="L11" s="17"/>
      <c r="M11" s="18" t="s">
        <v>174</v>
      </c>
      <c r="N11" s="19"/>
      <c r="O11" s="20"/>
      <c r="P11" s="22">
        <v>20</v>
      </c>
      <c r="Q11" s="22">
        <v>10</v>
      </c>
      <c r="R11" s="21" t="s">
        <v>72</v>
      </c>
      <c r="S11" s="17"/>
      <c r="T11" s="17"/>
    </row>
    <row r="12" spans="1:20" ht="14.25" x14ac:dyDescent="0.2">
      <c r="A12" s="163" t="s">
        <v>129</v>
      </c>
      <c r="B12" s="164"/>
      <c r="C12" s="168">
        <f>(C8*C9)-C11</f>
        <v>0</v>
      </c>
      <c r="D12" s="156" t="s">
        <v>131</v>
      </c>
      <c r="E12" s="161" t="s">
        <v>79</v>
      </c>
      <c r="F12" s="170"/>
      <c r="G12" s="158">
        <f>'Summary Calculations'!H16</f>
        <v>1.8</v>
      </c>
      <c r="H12" s="171" t="s">
        <v>185</v>
      </c>
      <c r="I12" s="172"/>
      <c r="J12" s="173"/>
      <c r="K12" s="174"/>
      <c r="L12" s="17"/>
      <c r="M12" s="18"/>
      <c r="N12" s="19"/>
      <c r="O12" s="20"/>
      <c r="P12" s="22"/>
      <c r="Q12" s="22"/>
      <c r="R12" s="21"/>
      <c r="S12" s="17"/>
      <c r="T12" s="17"/>
    </row>
    <row r="13" spans="1:20" x14ac:dyDescent="0.2">
      <c r="A13" s="175" t="s">
        <v>80</v>
      </c>
      <c r="B13" s="162"/>
      <c r="C13" s="158">
        <f>'Summary Calculations'!E26</f>
        <v>2</v>
      </c>
      <c r="D13" s="156" t="s">
        <v>72</v>
      </c>
      <c r="E13" s="176" t="s">
        <v>81</v>
      </c>
      <c r="F13" s="177"/>
      <c r="G13" s="178">
        <v>0.5</v>
      </c>
      <c r="H13" s="34" t="s">
        <v>82</v>
      </c>
      <c r="I13" s="179"/>
      <c r="J13" s="17"/>
      <c r="K13" s="180"/>
      <c r="L13" s="17"/>
      <c r="M13" s="18"/>
      <c r="N13" s="19"/>
      <c r="O13" s="20"/>
      <c r="P13" s="22"/>
      <c r="Q13" s="22"/>
      <c r="R13" s="21"/>
      <c r="S13" s="17"/>
      <c r="T13" s="17"/>
    </row>
    <row r="14" spans="1:20" ht="18" customHeight="1" thickBot="1" x14ac:dyDescent="0.3">
      <c r="A14" s="181" t="s">
        <v>83</v>
      </c>
      <c r="B14" s="182"/>
      <c r="C14" s="24">
        <f>'Summary Calculations'!E27</f>
        <v>40</v>
      </c>
      <c r="D14" s="183" t="s">
        <v>84</v>
      </c>
      <c r="E14" s="184" t="s">
        <v>168</v>
      </c>
      <c r="F14" s="185"/>
      <c r="G14" s="25">
        <v>0.5</v>
      </c>
      <c r="H14" s="186" t="s">
        <v>74</v>
      </c>
      <c r="I14" s="187"/>
      <c r="J14" s="188"/>
      <c r="K14" s="189"/>
      <c r="L14" s="17"/>
      <c r="M14" s="18"/>
      <c r="N14" s="19"/>
      <c r="O14" s="20"/>
      <c r="P14" s="22"/>
      <c r="Q14" s="22"/>
      <c r="R14" s="21"/>
      <c r="S14" s="17"/>
      <c r="T14" s="17"/>
    </row>
    <row r="15" spans="1:20" ht="24" customHeight="1" thickBot="1" x14ac:dyDescent="0.25">
      <c r="A15" s="17"/>
      <c r="B15" s="17"/>
      <c r="C15" s="17"/>
      <c r="D15" s="17"/>
      <c r="E15" s="17"/>
      <c r="F15" s="17"/>
      <c r="G15" s="17"/>
      <c r="H15" s="190"/>
      <c r="I15" s="17"/>
      <c r="J15" s="17"/>
      <c r="K15" s="17"/>
      <c r="L15" s="17"/>
      <c r="M15" s="17"/>
      <c r="N15" s="17"/>
      <c r="O15" s="17"/>
      <c r="P15" s="17"/>
      <c r="Q15" s="17"/>
      <c r="R15" s="17"/>
      <c r="S15" s="17"/>
      <c r="T15" s="17"/>
    </row>
    <row r="16" spans="1:20" ht="19.5" customHeight="1" x14ac:dyDescent="0.25">
      <c r="A16" s="191" t="s">
        <v>85</v>
      </c>
      <c r="B16" s="192"/>
      <c r="C16" s="192"/>
      <c r="D16" s="192"/>
      <c r="E16" s="192"/>
      <c r="F16" s="192"/>
      <c r="G16" s="192"/>
      <c r="H16" s="192"/>
      <c r="I16" s="192"/>
      <c r="J16" s="192"/>
      <c r="K16" s="193"/>
      <c r="L16" s="17"/>
      <c r="M16" s="59" t="s">
        <v>175</v>
      </c>
      <c r="N16" s="17"/>
      <c r="O16" s="17"/>
      <c r="P16" s="17"/>
      <c r="Q16" s="17"/>
      <c r="R16" s="17"/>
      <c r="S16" s="17"/>
      <c r="T16" s="17"/>
    </row>
    <row r="17" spans="1:20" ht="13.5" customHeight="1" x14ac:dyDescent="0.25">
      <c r="A17" s="194" t="s">
        <v>86</v>
      </c>
      <c r="B17" s="195"/>
      <c r="C17" s="196"/>
      <c r="D17" s="197" t="s">
        <v>87</v>
      </c>
      <c r="E17" s="198"/>
      <c r="F17" s="198"/>
      <c r="G17" s="198"/>
      <c r="H17" s="198"/>
      <c r="I17" s="198"/>
      <c r="J17" s="199"/>
      <c r="K17" s="200"/>
      <c r="L17" s="17"/>
      <c r="M17" s="26" t="s">
        <v>176</v>
      </c>
      <c r="N17" s="27" t="s">
        <v>202</v>
      </c>
      <c r="O17" s="27" t="s">
        <v>203</v>
      </c>
      <c r="P17" s="28" t="s">
        <v>88</v>
      </c>
      <c r="Q17" s="28" t="s">
        <v>91</v>
      </c>
      <c r="R17" s="29" t="s">
        <v>148</v>
      </c>
      <c r="S17" s="17"/>
      <c r="T17" s="17"/>
    </row>
    <row r="18" spans="1:20" ht="14.25" x14ac:dyDescent="0.2">
      <c r="A18" s="201" t="s">
        <v>88</v>
      </c>
      <c r="B18" s="202">
        <f>C12/J8</f>
        <v>0</v>
      </c>
      <c r="C18" s="31" t="s">
        <v>89</v>
      </c>
      <c r="D18" s="203" t="s">
        <v>90</v>
      </c>
      <c r="E18" s="204"/>
      <c r="F18" s="204"/>
      <c r="G18" s="205"/>
      <c r="H18" s="206">
        <f>'Water Balance'!J34</f>
        <v>0</v>
      </c>
      <c r="I18" s="27" t="s">
        <v>89</v>
      </c>
      <c r="J18" s="179"/>
      <c r="K18" s="180"/>
      <c r="L18" s="17"/>
      <c r="M18" s="30" t="s">
        <v>177</v>
      </c>
      <c r="N18" s="31"/>
      <c r="O18" s="31"/>
      <c r="P18" s="22">
        <v>260</v>
      </c>
      <c r="Q18" s="22">
        <v>25</v>
      </c>
      <c r="R18" s="32" t="s">
        <v>69</v>
      </c>
      <c r="S18" s="17"/>
      <c r="T18" s="17" t="str" cm="1">
        <f t="array" ref="T18:T21">Veg[Vegetation type]</f>
        <v>Kikuyu</v>
      </c>
    </row>
    <row r="19" spans="1:20" ht="14.25" x14ac:dyDescent="0.2">
      <c r="A19" s="201" t="s">
        <v>91</v>
      </c>
      <c r="B19" s="202">
        <f>I27/(I30+I28)</f>
        <v>0</v>
      </c>
      <c r="C19" s="31" t="s">
        <v>89</v>
      </c>
      <c r="D19" s="203" t="s">
        <v>92</v>
      </c>
      <c r="E19" s="204"/>
      <c r="F19" s="204"/>
      <c r="G19" s="204"/>
      <c r="H19" s="207">
        <f>(((C12*365)/1000000)-((J8*H18*365)/1000000))</f>
        <v>0</v>
      </c>
      <c r="I19" s="31" t="s">
        <v>93</v>
      </c>
      <c r="J19" s="179"/>
      <c r="K19" s="180"/>
      <c r="L19" s="17"/>
      <c r="M19" s="30" t="s">
        <v>184</v>
      </c>
      <c r="N19" s="31"/>
      <c r="O19" s="31"/>
      <c r="P19" s="22">
        <v>200</v>
      </c>
      <c r="Q19" s="22">
        <v>20</v>
      </c>
      <c r="R19" s="32" t="s">
        <v>69</v>
      </c>
      <c r="S19" s="17"/>
      <c r="T19" s="17" t="str">
        <v>Significant natural vegetation</v>
      </c>
    </row>
    <row r="20" spans="1:20" x14ac:dyDescent="0.2">
      <c r="A20" s="208"/>
      <c r="B20" s="173"/>
      <c r="C20" s="17"/>
      <c r="D20" s="203" t="s">
        <v>94</v>
      </c>
      <c r="E20" s="204"/>
      <c r="F20" s="204"/>
      <c r="G20" s="205"/>
      <c r="H20" s="207">
        <f>((I27-((I28+I30)*H18))/C14)</f>
        <v>0</v>
      </c>
      <c r="I20" s="31" t="s">
        <v>93</v>
      </c>
      <c r="J20" s="179"/>
      <c r="K20" s="180"/>
      <c r="L20" s="17"/>
      <c r="M20" s="30" t="s">
        <v>178</v>
      </c>
      <c r="N20" s="31"/>
      <c r="O20" s="31"/>
      <c r="P20" s="22">
        <v>200</v>
      </c>
      <c r="Q20" s="22">
        <v>20</v>
      </c>
      <c r="R20" s="32" t="s">
        <v>69</v>
      </c>
      <c r="S20" s="17"/>
      <c r="T20" s="17" t="str">
        <v>Coastal rainforest</v>
      </c>
    </row>
    <row r="21" spans="1:20" x14ac:dyDescent="0.2">
      <c r="A21" s="209"/>
      <c r="B21" s="17"/>
      <c r="C21" s="17"/>
      <c r="D21" s="203" t="s">
        <v>95</v>
      </c>
      <c r="E21" s="204"/>
      <c r="F21" s="204"/>
      <c r="G21" s="205"/>
      <c r="H21" s="210" t="e">
        <f>B31/B33</f>
        <v>#DIV/0!</v>
      </c>
      <c r="I21" s="34" t="s">
        <v>96</v>
      </c>
      <c r="J21" s="179"/>
      <c r="K21" s="180"/>
      <c r="L21" s="17"/>
      <c r="M21" s="33" t="s">
        <v>179</v>
      </c>
      <c r="N21" s="34"/>
      <c r="O21" s="34"/>
      <c r="P21" s="35">
        <v>200</v>
      </c>
      <c r="Q21" s="35">
        <v>20</v>
      </c>
      <c r="R21" s="36" t="s">
        <v>69</v>
      </c>
      <c r="S21" s="17"/>
      <c r="T21" s="17" t="str">
        <v>Kentia palm plantation</v>
      </c>
    </row>
    <row r="22" spans="1:20" ht="15" thickBot="1" x14ac:dyDescent="0.25">
      <c r="A22" s="211"/>
      <c r="B22" s="188"/>
      <c r="C22" s="188"/>
      <c r="D22" s="212" t="s">
        <v>97</v>
      </c>
      <c r="E22" s="213"/>
      <c r="F22" s="213"/>
      <c r="G22" s="214"/>
      <c r="H22" s="215">
        <f>IF(MAX((B19-H18),(B18-H18))&gt;0,MAX((B19-H18),(B18-H18)),0)</f>
        <v>0</v>
      </c>
      <c r="I22" s="186" t="s">
        <v>89</v>
      </c>
      <c r="J22" s="187"/>
      <c r="K22" s="189"/>
      <c r="L22" s="17"/>
      <c r="M22" s="37"/>
      <c r="N22" s="37"/>
      <c r="O22" s="37"/>
      <c r="P22" s="22"/>
      <c r="Q22" s="22"/>
      <c r="R22" s="21"/>
      <c r="S22" s="17"/>
      <c r="T22" s="17"/>
    </row>
    <row r="23" spans="1:20" x14ac:dyDescent="0.2">
      <c r="A23" s="209"/>
      <c r="B23" s="17"/>
      <c r="C23" s="17"/>
      <c r="D23" s="17"/>
      <c r="E23" s="17"/>
      <c r="F23" s="17"/>
      <c r="G23" s="17"/>
      <c r="H23" s="17"/>
      <c r="I23" s="17"/>
      <c r="J23" s="17"/>
      <c r="K23" s="180"/>
      <c r="L23" s="17"/>
      <c r="M23" s="37"/>
      <c r="N23" s="37"/>
      <c r="O23" s="37"/>
      <c r="P23" s="22"/>
      <c r="Q23" s="22"/>
      <c r="R23" s="21"/>
      <c r="S23" s="17"/>
      <c r="T23" s="17"/>
    </row>
    <row r="24" spans="1:20" ht="24.75" customHeight="1" x14ac:dyDescent="0.25">
      <c r="A24" s="216" t="s">
        <v>100</v>
      </c>
      <c r="B24" s="17"/>
      <c r="C24" s="17"/>
      <c r="D24" s="17"/>
      <c r="E24" s="17"/>
      <c r="F24" s="17"/>
      <c r="G24" s="17"/>
      <c r="H24" s="17"/>
      <c r="I24" s="17"/>
      <c r="J24" s="17"/>
      <c r="K24" s="180"/>
      <c r="L24" s="17"/>
      <c r="M24" s="204"/>
      <c r="N24" s="204"/>
      <c r="O24" s="204"/>
      <c r="P24" s="190"/>
      <c r="Q24" s="190"/>
      <c r="R24" s="217"/>
      <c r="S24" s="17"/>
      <c r="T24" s="17"/>
    </row>
    <row r="25" spans="1:20" ht="18" customHeight="1" x14ac:dyDescent="0.25">
      <c r="A25" s="216" t="s">
        <v>98</v>
      </c>
      <c r="B25" s="17"/>
      <c r="C25" s="17"/>
      <c r="D25" s="17"/>
      <c r="E25" s="17"/>
      <c r="F25" s="17"/>
      <c r="G25" s="17"/>
      <c r="H25" s="17"/>
      <c r="I25" s="17"/>
      <c r="J25" s="17"/>
      <c r="K25" s="180"/>
      <c r="L25" s="17"/>
      <c r="M25" s="59" t="s">
        <v>183</v>
      </c>
      <c r="N25" s="17"/>
      <c r="O25" s="17"/>
      <c r="P25" s="17"/>
      <c r="Q25" s="17"/>
      <c r="R25" s="17"/>
      <c r="S25" s="17"/>
      <c r="T25" s="17"/>
    </row>
    <row r="26" spans="1:20" ht="16.5" customHeight="1" x14ac:dyDescent="0.2">
      <c r="A26" s="209" t="s">
        <v>90</v>
      </c>
      <c r="B26" s="218">
        <f>H18</f>
        <v>0</v>
      </c>
      <c r="C26" s="17" t="s">
        <v>89</v>
      </c>
      <c r="D26" s="17"/>
      <c r="E26" s="17"/>
      <c r="F26" s="17"/>
      <c r="G26" s="17"/>
      <c r="H26" s="17"/>
      <c r="I26" s="17"/>
      <c r="J26" s="17"/>
      <c r="K26" s="180"/>
      <c r="L26" s="17"/>
      <c r="M26" s="38" t="s">
        <v>145</v>
      </c>
      <c r="N26" s="39" t="s">
        <v>202</v>
      </c>
      <c r="O26" s="40" t="s">
        <v>180</v>
      </c>
      <c r="P26" s="41" t="s">
        <v>203</v>
      </c>
      <c r="Q26" s="40" t="s">
        <v>148</v>
      </c>
      <c r="R26" s="17"/>
      <c r="S26" s="17"/>
      <c r="T26" s="17"/>
    </row>
    <row r="27" spans="1:20" x14ac:dyDescent="0.2">
      <c r="A27" s="219" t="s">
        <v>101</v>
      </c>
      <c r="B27" s="190">
        <f>C8*C13/1000000</f>
        <v>0</v>
      </c>
      <c r="C27" s="17" t="s">
        <v>102</v>
      </c>
      <c r="D27" s="17"/>
      <c r="E27" s="204" t="s">
        <v>103</v>
      </c>
      <c r="F27" s="204"/>
      <c r="G27" s="204"/>
      <c r="H27" s="204"/>
      <c r="I27" s="190">
        <f>B27*365*C14</f>
        <v>0</v>
      </c>
      <c r="J27" s="17" t="s">
        <v>99</v>
      </c>
      <c r="K27" s="180"/>
      <c r="L27" s="17"/>
      <c r="M27" s="42" t="s">
        <v>146</v>
      </c>
      <c r="N27" s="43"/>
      <c r="O27" s="44">
        <v>170</v>
      </c>
      <c r="P27" s="45"/>
      <c r="Q27" s="46" t="s">
        <v>77</v>
      </c>
      <c r="R27" s="17"/>
      <c r="S27" s="17"/>
      <c r="T27" s="17"/>
    </row>
    <row r="28" spans="1:20" ht="14.25" x14ac:dyDescent="0.2">
      <c r="A28" s="219" t="s">
        <v>104</v>
      </c>
      <c r="B28" s="190">
        <f>J9*B26/1000000</f>
        <v>0</v>
      </c>
      <c r="C28" s="17" t="s">
        <v>102</v>
      </c>
      <c r="D28" s="17"/>
      <c r="E28" s="204" t="s">
        <v>105</v>
      </c>
      <c r="F28" s="204"/>
      <c r="G28" s="204"/>
      <c r="H28" s="204"/>
      <c r="I28" s="220">
        <f>J9*365*C14/1000000</f>
        <v>8.0000000000000016E-2</v>
      </c>
      <c r="J28" s="17" t="s">
        <v>106</v>
      </c>
      <c r="K28" s="180"/>
      <c r="L28" s="17"/>
      <c r="M28" s="42" t="s">
        <v>181</v>
      </c>
      <c r="N28" s="43"/>
      <c r="O28" s="44">
        <v>400</v>
      </c>
      <c r="P28" s="45"/>
      <c r="Q28" s="46" t="s">
        <v>77</v>
      </c>
      <c r="R28" s="17"/>
      <c r="S28" s="17"/>
      <c r="T28" s="17"/>
    </row>
    <row r="29" spans="1:20" ht="14.25" x14ac:dyDescent="0.2">
      <c r="A29" s="219" t="s">
        <v>107</v>
      </c>
      <c r="B29" s="190">
        <f>(G11/1000000)*(G12*1000)*G13</f>
        <v>0.15300000000000002</v>
      </c>
      <c r="C29" s="17" t="s">
        <v>106</v>
      </c>
      <c r="D29" s="17"/>
      <c r="E29" s="17"/>
      <c r="F29" s="17"/>
      <c r="G29" s="17"/>
      <c r="H29" s="17"/>
      <c r="I29" s="190"/>
      <c r="J29" s="17"/>
      <c r="K29" s="180"/>
      <c r="L29" s="17"/>
      <c r="M29" s="47" t="s">
        <v>182</v>
      </c>
      <c r="N29" s="48"/>
      <c r="O29" s="49">
        <v>700</v>
      </c>
      <c r="P29" s="50"/>
      <c r="Q29" s="51" t="s">
        <v>77</v>
      </c>
      <c r="R29" s="17"/>
      <c r="S29" s="17"/>
      <c r="T29" s="17"/>
    </row>
    <row r="30" spans="1:20" ht="14.25" x14ac:dyDescent="0.2">
      <c r="A30" s="219" t="s">
        <v>108</v>
      </c>
      <c r="B30" s="220">
        <f>B29*G14</f>
        <v>7.6500000000000012E-2</v>
      </c>
      <c r="C30" s="17" t="s">
        <v>106</v>
      </c>
      <c r="D30" s="17"/>
      <c r="E30" s="204" t="s">
        <v>109</v>
      </c>
      <c r="F30" s="204"/>
      <c r="G30" s="204"/>
      <c r="H30" s="204"/>
      <c r="I30" s="220">
        <f>B30</f>
        <v>7.6500000000000012E-2</v>
      </c>
      <c r="J30" s="17" t="s">
        <v>106</v>
      </c>
      <c r="K30" s="180"/>
      <c r="L30" s="17"/>
      <c r="M30" s="221" t="s">
        <v>196</v>
      </c>
      <c r="N30" s="17"/>
      <c r="O30" s="17"/>
      <c r="P30" s="17"/>
      <c r="Q30" s="17"/>
      <c r="R30" s="17"/>
      <c r="S30" s="17"/>
      <c r="T30" s="17"/>
    </row>
    <row r="31" spans="1:20" x14ac:dyDescent="0.2">
      <c r="A31" s="219" t="s">
        <v>110</v>
      </c>
      <c r="B31" s="222">
        <f>B30*B26</f>
        <v>0</v>
      </c>
      <c r="C31" s="17" t="s">
        <v>99</v>
      </c>
      <c r="D31" s="17"/>
      <c r="E31" s="221" t="s">
        <v>111</v>
      </c>
      <c r="F31" s="17"/>
      <c r="G31" s="17"/>
      <c r="H31" s="17"/>
      <c r="I31" s="220">
        <f>(B31/C14)+(B28*365)</f>
        <v>0</v>
      </c>
      <c r="J31" s="17" t="s">
        <v>93</v>
      </c>
      <c r="K31" s="180"/>
      <c r="L31" s="17"/>
      <c r="M31" s="17"/>
      <c r="N31" s="17"/>
      <c r="O31" s="17"/>
      <c r="P31" s="17"/>
      <c r="Q31" s="17"/>
      <c r="R31" s="17"/>
      <c r="S31" s="17"/>
      <c r="T31" s="17"/>
    </row>
    <row r="32" spans="1:20" x14ac:dyDescent="0.2">
      <c r="A32" s="219"/>
      <c r="B32" s="222"/>
      <c r="C32" s="17"/>
      <c r="D32" s="17"/>
      <c r="E32" s="221"/>
      <c r="F32" s="17"/>
      <c r="G32" s="17"/>
      <c r="H32" s="17" t="s">
        <v>70</v>
      </c>
      <c r="I32" s="223">
        <f>I31/365</f>
        <v>0</v>
      </c>
      <c r="J32" s="17" t="s">
        <v>102</v>
      </c>
      <c r="K32" s="180"/>
      <c r="L32" s="17"/>
      <c r="M32" s="224" t="s">
        <v>186</v>
      </c>
      <c r="N32" s="17"/>
      <c r="O32" s="17"/>
      <c r="P32" s="17"/>
      <c r="Q32" s="17"/>
      <c r="R32" s="17"/>
      <c r="S32" s="17"/>
      <c r="T32" s="17"/>
    </row>
    <row r="33" spans="1:20" x14ac:dyDescent="0.2">
      <c r="A33" s="219" t="s">
        <v>127</v>
      </c>
      <c r="B33" s="222">
        <f>(B27-B28)*365</f>
        <v>0</v>
      </c>
      <c r="C33" s="17" t="s">
        <v>93</v>
      </c>
      <c r="D33" s="17"/>
      <c r="E33" s="221"/>
      <c r="F33" s="17"/>
      <c r="G33" s="17"/>
      <c r="H33" s="17"/>
      <c r="I33" s="223"/>
      <c r="J33" s="17"/>
      <c r="K33" s="180"/>
      <c r="L33" s="17"/>
      <c r="M33" s="38" t="s">
        <v>145</v>
      </c>
      <c r="N33" s="39" t="s">
        <v>202</v>
      </c>
      <c r="O33" s="40" t="s">
        <v>79</v>
      </c>
      <c r="P33" s="41" t="s">
        <v>203</v>
      </c>
      <c r="Q33" s="40" t="s">
        <v>148</v>
      </c>
      <c r="R33" s="17"/>
      <c r="S33" s="17"/>
      <c r="T33" s="17"/>
    </row>
    <row r="34" spans="1:20" ht="15.75" customHeight="1" thickBot="1" x14ac:dyDescent="0.25">
      <c r="A34" s="211"/>
      <c r="B34" s="188"/>
      <c r="C34" s="188"/>
      <c r="D34" s="188"/>
      <c r="E34" s="188"/>
      <c r="F34" s="188"/>
      <c r="G34" s="188"/>
      <c r="H34" s="188"/>
      <c r="I34" s="188"/>
      <c r="J34" s="188"/>
      <c r="K34" s="189"/>
      <c r="L34" s="17"/>
      <c r="M34" s="42" t="s">
        <v>146</v>
      </c>
      <c r="N34" s="43"/>
      <c r="O34" s="52">
        <v>1.8</v>
      </c>
      <c r="P34" s="53"/>
      <c r="Q34" s="46" t="s">
        <v>185</v>
      </c>
      <c r="R34" s="17"/>
      <c r="S34" s="17"/>
      <c r="T34" s="17"/>
    </row>
    <row r="35" spans="1:20" ht="17.25" customHeight="1" x14ac:dyDescent="0.2">
      <c r="A35" s="17"/>
      <c r="B35" s="17"/>
      <c r="C35" s="17"/>
      <c r="D35" s="17"/>
      <c r="E35" s="17"/>
      <c r="F35" s="17"/>
      <c r="G35" s="17"/>
      <c r="H35" s="17"/>
      <c r="I35" s="17"/>
      <c r="J35" s="17"/>
      <c r="K35" s="17"/>
      <c r="L35" s="17"/>
      <c r="M35" s="42" t="s">
        <v>181</v>
      </c>
      <c r="N35" s="43"/>
      <c r="O35" s="52">
        <v>1.6</v>
      </c>
      <c r="P35" s="53"/>
      <c r="Q35" s="46" t="s">
        <v>185</v>
      </c>
      <c r="R35" s="17"/>
      <c r="S35" s="17"/>
      <c r="T35" s="17"/>
    </row>
    <row r="36" spans="1:20" ht="17.25" customHeight="1" x14ac:dyDescent="0.2">
      <c r="A36" s="17"/>
      <c r="B36" s="17"/>
      <c r="C36" s="17"/>
      <c r="D36" s="17"/>
      <c r="E36" s="17"/>
      <c r="F36" s="17"/>
      <c r="G36" s="17"/>
      <c r="H36" s="17"/>
      <c r="I36" s="17"/>
      <c r="J36" s="17"/>
      <c r="K36" s="17"/>
      <c r="L36" s="17"/>
      <c r="M36" s="47" t="s">
        <v>182</v>
      </c>
      <c r="N36" s="48"/>
      <c r="O36" s="54">
        <v>1.4</v>
      </c>
      <c r="P36" s="55"/>
      <c r="Q36" s="51" t="s">
        <v>185</v>
      </c>
      <c r="R36" s="17"/>
      <c r="S36" s="17"/>
      <c r="T36" s="17"/>
    </row>
    <row r="37" spans="1:20" x14ac:dyDescent="0.2">
      <c r="A37" s="224" t="s">
        <v>62</v>
      </c>
      <c r="B37" s="17"/>
      <c r="C37" s="17"/>
      <c r="D37" s="17"/>
      <c r="E37" s="17"/>
      <c r="F37" s="17"/>
      <c r="G37" s="17"/>
      <c r="H37" s="17"/>
      <c r="I37" s="17"/>
      <c r="J37" s="17"/>
      <c r="K37" s="17"/>
      <c r="L37" s="17"/>
      <c r="M37" s="17"/>
      <c r="N37" s="17"/>
      <c r="O37" s="17"/>
      <c r="P37" s="17"/>
      <c r="Q37" s="17"/>
      <c r="R37" s="17"/>
      <c r="S37" s="17"/>
      <c r="T37" s="17"/>
    </row>
    <row r="38" spans="1:20" ht="12.75" customHeight="1" x14ac:dyDescent="0.2">
      <c r="A38" s="225" t="s">
        <v>142</v>
      </c>
      <c r="B38" s="225"/>
      <c r="C38" s="225"/>
      <c r="D38" s="225"/>
      <c r="E38" s="225"/>
      <c r="F38" s="225"/>
      <c r="G38" s="225"/>
      <c r="H38" s="225"/>
      <c r="I38" s="225"/>
      <c r="J38" s="17"/>
      <c r="K38" s="17"/>
      <c r="L38" s="17"/>
      <c r="M38" s="17"/>
      <c r="N38" s="17"/>
      <c r="O38" s="17"/>
      <c r="P38" s="17"/>
      <c r="Q38" s="17"/>
      <c r="R38" s="17"/>
      <c r="S38" s="17"/>
      <c r="T38" s="17"/>
    </row>
    <row r="39" spans="1:20" x14ac:dyDescent="0.2">
      <c r="A39" s="225"/>
      <c r="B39" s="225"/>
      <c r="C39" s="225"/>
      <c r="D39" s="225"/>
      <c r="E39" s="225"/>
      <c r="F39" s="225"/>
      <c r="G39" s="225"/>
      <c r="H39" s="225"/>
      <c r="I39" s="225"/>
      <c r="J39" s="17"/>
      <c r="K39" s="17"/>
      <c r="L39" s="17"/>
      <c r="M39" s="17"/>
      <c r="N39" s="17"/>
      <c r="O39" s="17"/>
      <c r="P39" s="17"/>
      <c r="Q39" s="17"/>
      <c r="R39" s="17"/>
      <c r="S39" s="17"/>
      <c r="T39" s="17"/>
    </row>
    <row r="40" spans="1:20" x14ac:dyDescent="0.2">
      <c r="A40" s="225"/>
      <c r="B40" s="225"/>
      <c r="C40" s="225"/>
      <c r="D40" s="225"/>
      <c r="E40" s="225"/>
      <c r="F40" s="225"/>
      <c r="G40" s="225"/>
      <c r="H40" s="225"/>
      <c r="I40" s="225"/>
      <c r="J40" s="17"/>
      <c r="K40" s="17"/>
      <c r="L40" s="17"/>
      <c r="M40" s="17"/>
      <c r="N40" s="17"/>
      <c r="O40" s="17"/>
      <c r="P40" s="17"/>
      <c r="Q40" s="17"/>
      <c r="R40" s="17"/>
      <c r="S40" s="17"/>
      <c r="T40" s="17"/>
    </row>
    <row r="41" spans="1:20" x14ac:dyDescent="0.2">
      <c r="A41" s="225"/>
      <c r="B41" s="225"/>
      <c r="C41" s="225"/>
      <c r="D41" s="225"/>
      <c r="E41" s="225"/>
      <c r="F41" s="225"/>
      <c r="G41" s="225"/>
      <c r="H41" s="225"/>
      <c r="I41" s="225"/>
      <c r="J41" s="17"/>
      <c r="K41" s="17"/>
      <c r="L41" s="17"/>
      <c r="M41" s="17"/>
      <c r="N41" s="17"/>
      <c r="O41" s="17"/>
      <c r="P41" s="17"/>
      <c r="Q41" s="17"/>
      <c r="R41" s="17"/>
      <c r="S41" s="17"/>
      <c r="T41" s="17"/>
    </row>
    <row r="42" spans="1:20" x14ac:dyDescent="0.2">
      <c r="A42" s="225"/>
      <c r="B42" s="225"/>
      <c r="C42" s="225"/>
      <c r="D42" s="225"/>
      <c r="E42" s="225"/>
      <c r="F42" s="225"/>
      <c r="G42" s="225"/>
      <c r="H42" s="225"/>
      <c r="I42" s="225"/>
      <c r="J42" s="17"/>
      <c r="K42" s="17"/>
      <c r="L42" s="17"/>
      <c r="M42" s="17"/>
      <c r="N42" s="17"/>
      <c r="O42" s="17"/>
      <c r="P42" s="17"/>
      <c r="Q42" s="17"/>
      <c r="R42" s="17"/>
      <c r="S42" s="17"/>
      <c r="T42" s="17"/>
    </row>
    <row r="43" spans="1:20" x14ac:dyDescent="0.2">
      <c r="A43" s="225"/>
      <c r="B43" s="225"/>
      <c r="C43" s="225"/>
      <c r="D43" s="225"/>
      <c r="E43" s="225"/>
      <c r="F43" s="225"/>
      <c r="G43" s="225"/>
      <c r="H43" s="225"/>
      <c r="I43" s="225"/>
      <c r="J43" s="17"/>
      <c r="K43" s="17"/>
      <c r="L43" s="17"/>
      <c r="M43" s="17"/>
      <c r="N43" s="17"/>
      <c r="O43" s="17"/>
      <c r="P43" s="17"/>
      <c r="Q43" s="17"/>
      <c r="R43" s="17"/>
      <c r="S43" s="17"/>
      <c r="T43" s="17"/>
    </row>
    <row r="44" spans="1:20" x14ac:dyDescent="0.2">
      <c r="A44" s="225"/>
      <c r="B44" s="225"/>
      <c r="C44" s="225"/>
      <c r="D44" s="225"/>
      <c r="E44" s="225"/>
      <c r="F44" s="225"/>
      <c r="G44" s="225"/>
      <c r="H44" s="225"/>
      <c r="I44" s="225"/>
      <c r="J44" s="17"/>
      <c r="K44" s="17"/>
      <c r="L44" s="17"/>
      <c r="M44" s="17"/>
      <c r="N44" s="17"/>
      <c r="O44" s="17"/>
      <c r="P44" s="17"/>
      <c r="Q44" s="17"/>
      <c r="R44" s="17"/>
      <c r="S44" s="17"/>
      <c r="T44" s="17"/>
    </row>
    <row r="45" spans="1:20" x14ac:dyDescent="0.2">
      <c r="A45" s="225"/>
      <c r="B45" s="225"/>
      <c r="C45" s="225"/>
      <c r="D45" s="225"/>
      <c r="E45" s="225"/>
      <c r="F45" s="225"/>
      <c r="G45" s="225"/>
      <c r="H45" s="225"/>
      <c r="I45" s="225"/>
      <c r="J45" s="17"/>
      <c r="K45" s="17"/>
      <c r="L45" s="17"/>
      <c r="M45" s="17"/>
      <c r="N45" s="17"/>
      <c r="O45" s="17"/>
      <c r="P45" s="17"/>
      <c r="Q45" s="17"/>
      <c r="R45" s="17"/>
      <c r="S45" s="17"/>
      <c r="T45" s="17"/>
    </row>
    <row r="46" spans="1:20" ht="15" customHeight="1" x14ac:dyDescent="0.2">
      <c r="A46" s="226" t="s">
        <v>140</v>
      </c>
      <c r="B46" s="227"/>
      <c r="C46" s="227"/>
      <c r="D46" s="227"/>
      <c r="E46" s="227"/>
      <c r="F46" s="227"/>
      <c r="G46" s="227"/>
      <c r="H46" s="227"/>
      <c r="I46" s="227"/>
      <c r="J46" s="17"/>
      <c r="K46" s="17"/>
      <c r="L46" s="17"/>
      <c r="M46" s="17"/>
      <c r="N46" s="17"/>
      <c r="O46" s="17"/>
      <c r="P46" s="17"/>
      <c r="Q46" s="17"/>
      <c r="R46" s="17"/>
      <c r="S46" s="17"/>
      <c r="T46" s="17"/>
    </row>
    <row r="47" spans="1:20" ht="12.75" customHeight="1" x14ac:dyDescent="0.2">
      <c r="A47" s="228" t="s">
        <v>141</v>
      </c>
      <c r="B47" s="228"/>
      <c r="C47" s="228"/>
      <c r="D47" s="228"/>
      <c r="E47" s="228"/>
      <c r="F47" s="228"/>
      <c r="G47" s="228"/>
      <c r="H47" s="228"/>
      <c r="I47" s="228"/>
      <c r="J47" s="17"/>
      <c r="K47" s="17"/>
      <c r="L47" s="17"/>
      <c r="M47" s="17"/>
      <c r="N47" s="17"/>
      <c r="O47" s="17"/>
      <c r="P47" s="17"/>
      <c r="Q47" s="17"/>
      <c r="R47" s="17"/>
      <c r="S47" s="17"/>
      <c r="T47" s="17"/>
    </row>
    <row r="48" spans="1:20" x14ac:dyDescent="0.2">
      <c r="A48" s="228"/>
      <c r="B48" s="228"/>
      <c r="C48" s="228"/>
      <c r="D48" s="228"/>
      <c r="E48" s="228"/>
      <c r="F48" s="228"/>
      <c r="G48" s="228"/>
      <c r="H48" s="228"/>
      <c r="I48" s="228"/>
      <c r="J48" s="17"/>
      <c r="K48" s="17"/>
      <c r="L48" s="17"/>
      <c r="M48" s="17"/>
      <c r="N48" s="17"/>
      <c r="O48" s="17"/>
      <c r="P48" s="17"/>
      <c r="Q48" s="17"/>
      <c r="R48" s="17"/>
      <c r="S48" s="17"/>
      <c r="T48" s="17"/>
    </row>
    <row r="49" spans="1:20" x14ac:dyDescent="0.2">
      <c r="A49" s="17"/>
      <c r="B49" s="17"/>
      <c r="C49" s="17"/>
      <c r="D49" s="17"/>
      <c r="E49" s="17"/>
      <c r="F49" s="17"/>
      <c r="G49" s="17"/>
      <c r="H49" s="17"/>
      <c r="I49" s="17"/>
      <c r="J49" s="17"/>
      <c r="K49" s="17"/>
      <c r="L49" s="17"/>
      <c r="M49" s="17"/>
      <c r="N49" s="17"/>
      <c r="O49" s="17"/>
      <c r="P49" s="17"/>
      <c r="Q49" s="17"/>
      <c r="R49" s="17"/>
      <c r="S49" s="17"/>
      <c r="T49" s="17"/>
    </row>
    <row r="50" spans="1:20" ht="15" x14ac:dyDescent="0.2">
      <c r="A50" s="58" t="s">
        <v>189</v>
      </c>
      <c r="B50" s="17"/>
      <c r="C50" s="17"/>
      <c r="D50" s="17"/>
      <c r="E50" s="17"/>
      <c r="F50" s="17"/>
      <c r="G50" s="17"/>
      <c r="H50" s="17"/>
      <c r="I50" s="17"/>
      <c r="J50" s="17"/>
      <c r="K50" s="17"/>
      <c r="L50" s="17"/>
      <c r="M50" s="17"/>
      <c r="N50" s="17"/>
      <c r="O50" s="17"/>
      <c r="P50" s="17"/>
      <c r="Q50" s="17"/>
      <c r="R50" s="17"/>
      <c r="S50" s="17"/>
      <c r="T50" s="17"/>
    </row>
    <row r="51" spans="1:20" ht="15" x14ac:dyDescent="0.2">
      <c r="A51" s="58" t="s">
        <v>195</v>
      </c>
      <c r="B51" s="17"/>
      <c r="C51" s="17"/>
      <c r="D51" s="17"/>
      <c r="E51" s="17"/>
      <c r="F51" s="17"/>
      <c r="G51" s="17"/>
      <c r="H51" s="17"/>
      <c r="I51" s="17"/>
      <c r="J51" s="17"/>
      <c r="K51" s="17"/>
      <c r="L51" s="17"/>
      <c r="M51" s="17"/>
      <c r="N51" s="17"/>
      <c r="O51" s="17"/>
      <c r="P51" s="17"/>
      <c r="Q51" s="17"/>
      <c r="R51" s="17"/>
      <c r="S51" s="17"/>
      <c r="T51" s="17"/>
    </row>
    <row r="52" spans="1:20" ht="15" x14ac:dyDescent="0.2">
      <c r="A52" s="58" t="s">
        <v>190</v>
      </c>
      <c r="B52" s="17"/>
      <c r="C52" s="17"/>
      <c r="D52" s="17"/>
      <c r="E52" s="17"/>
      <c r="F52" s="17"/>
      <c r="G52" s="17"/>
      <c r="H52" s="17"/>
      <c r="I52" s="17"/>
      <c r="J52" s="17"/>
      <c r="K52" s="17"/>
      <c r="L52" s="17"/>
      <c r="M52" s="17"/>
      <c r="N52" s="17"/>
      <c r="O52" s="17"/>
      <c r="P52" s="17"/>
      <c r="Q52" s="17"/>
      <c r="R52" s="17"/>
      <c r="S52" s="17"/>
      <c r="T52" s="17"/>
    </row>
    <row r="53" spans="1:20" ht="15" x14ac:dyDescent="0.2">
      <c r="A53" s="58" t="s">
        <v>191</v>
      </c>
      <c r="B53" s="17"/>
      <c r="C53" s="17"/>
      <c r="D53" s="17"/>
      <c r="E53" s="17"/>
      <c r="F53" s="17"/>
      <c r="G53" s="17"/>
      <c r="H53" s="17"/>
      <c r="I53" s="17"/>
      <c r="J53" s="17"/>
      <c r="K53" s="17"/>
      <c r="L53" s="17"/>
      <c r="M53" s="17"/>
      <c r="N53" s="17"/>
      <c r="O53" s="17"/>
      <c r="P53" s="17"/>
      <c r="Q53" s="17"/>
      <c r="R53" s="17"/>
      <c r="S53" s="17"/>
      <c r="T53" s="17"/>
    </row>
    <row r="54" spans="1:20" ht="28.5" customHeight="1" x14ac:dyDescent="0.2">
      <c r="A54" s="138" t="s">
        <v>192</v>
      </c>
      <c r="B54" s="138"/>
      <c r="C54" s="138"/>
      <c r="D54" s="138"/>
      <c r="E54" s="138"/>
      <c r="F54" s="138"/>
      <c r="G54" s="138"/>
      <c r="H54" s="138"/>
      <c r="I54" s="138"/>
      <c r="J54" s="138"/>
      <c r="K54" s="138"/>
      <c r="L54" s="138"/>
      <c r="M54" s="138"/>
      <c r="N54" s="138"/>
      <c r="O54" s="17"/>
      <c r="P54" s="17"/>
      <c r="Q54" s="17"/>
      <c r="R54" s="17"/>
      <c r="S54" s="17"/>
      <c r="T54" s="17"/>
    </row>
    <row r="55" spans="1:20" ht="15" x14ac:dyDescent="0.2">
      <c r="A55" s="58" t="s">
        <v>193</v>
      </c>
      <c r="B55" s="17"/>
      <c r="C55" s="17"/>
      <c r="D55" s="17"/>
      <c r="E55" s="17"/>
      <c r="F55" s="17"/>
      <c r="G55" s="17"/>
      <c r="H55" s="17"/>
      <c r="I55" s="17"/>
      <c r="J55" s="17"/>
      <c r="K55" s="17"/>
      <c r="L55" s="17"/>
      <c r="M55" s="17"/>
      <c r="N55" s="17"/>
      <c r="O55" s="17"/>
      <c r="P55" s="17"/>
      <c r="Q55" s="17"/>
      <c r="R55" s="17"/>
      <c r="S55" s="17"/>
      <c r="T55" s="17"/>
    </row>
  </sheetData>
  <sheetProtection algorithmName="SHA-512" hashValue="i0V/jgXeNbfSk9YHw3MwYwc1+/t73K/nFTzbGqFb6PiZUUmsi1EwmlxwwrN9XPdXivHpdQxmqveaVwzB4eFgvw==" saltValue="yXS+oBzV+l0lqyAKIjhZgQ==" spinCount="100000" sheet="1" objects="1" scenarios="1"/>
  <mergeCells count="36">
    <mergeCell ref="A54:N54"/>
    <mergeCell ref="A3:I3"/>
    <mergeCell ref="E10:K10"/>
    <mergeCell ref="A7:D7"/>
    <mergeCell ref="E7:K7"/>
    <mergeCell ref="A6:K6"/>
    <mergeCell ref="A4:I4"/>
    <mergeCell ref="A10:B10"/>
    <mergeCell ref="A46:I46"/>
    <mergeCell ref="A47:I48"/>
    <mergeCell ref="D20:G20"/>
    <mergeCell ref="E27:H27"/>
    <mergeCell ref="E28:H28"/>
    <mergeCell ref="E30:H30"/>
    <mergeCell ref="D22:G22"/>
    <mergeCell ref="D21:G21"/>
    <mergeCell ref="A38:I45"/>
    <mergeCell ref="A11:B11"/>
    <mergeCell ref="A12:B12"/>
    <mergeCell ref="A16:K16"/>
    <mergeCell ref="D19:G19"/>
    <mergeCell ref="E14:F14"/>
    <mergeCell ref="E13:F13"/>
    <mergeCell ref="D17:K17"/>
    <mergeCell ref="D18:G18"/>
    <mergeCell ref="M13:O13"/>
    <mergeCell ref="M14:O14"/>
    <mergeCell ref="M23:O23"/>
    <mergeCell ref="M24:O24"/>
    <mergeCell ref="M7:O7"/>
    <mergeCell ref="M8:O8"/>
    <mergeCell ref="M9:O9"/>
    <mergeCell ref="M10:O10"/>
    <mergeCell ref="M22:O22"/>
    <mergeCell ref="M11:O11"/>
    <mergeCell ref="M12:O12"/>
  </mergeCells>
  <phoneticPr fontId="15" type="noConversion"/>
  <pageMargins left="0.47244094488188981" right="0.47244094488188981" top="0.47244094488188981" bottom="0.47244094488188981" header="0" footer="0"/>
  <pageSetup paperSize="9" scale="64" fitToHeight="0" orientation="portrait" horizontalDpi="300" verticalDpi="300" r:id="rId1"/>
  <headerFooter alignWithMargins="0"/>
  <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943B9-DD97-4563-9262-6798DEB7AF0E}">
  <dimension ref="A1:B3"/>
  <sheetViews>
    <sheetView workbookViewId="0">
      <selection activeCell="B2" sqref="B2"/>
    </sheetView>
  </sheetViews>
  <sheetFormatPr defaultRowHeight="15.75" x14ac:dyDescent="0.25"/>
  <sheetData>
    <row r="1" spans="1:2" x14ac:dyDescent="0.25">
      <c r="A1">
        <f>'Summary Calculations'!E7</f>
        <v>0</v>
      </c>
      <c r="B1" t="s">
        <v>199</v>
      </c>
    </row>
    <row r="2" spans="1:2" x14ac:dyDescent="0.25">
      <c r="A2">
        <v>150</v>
      </c>
      <c r="B2" t="s">
        <v>200</v>
      </c>
    </row>
    <row r="3" spans="1:2" x14ac:dyDescent="0.25">
      <c r="A3">
        <f>A1*A2</f>
        <v>0</v>
      </c>
      <c r="B3" t="s">
        <v>201</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0DEA19DFFA5440840FB4ED02869A7F" ma:contentTypeVersion="14" ma:contentTypeDescription="Create a new document." ma:contentTypeScope="" ma:versionID="9e906123212215d93cdf7fa02c171705">
  <xsd:schema xmlns:xsd="http://www.w3.org/2001/XMLSchema" xmlns:xs="http://www.w3.org/2001/XMLSchema" xmlns:p="http://schemas.microsoft.com/office/2006/metadata/properties" xmlns:ns2="af7586c3-3852-4f74-b962-687767a32e74" xmlns:ns3="362e44f8-346d-4649-90ee-f10e4e9978c2" targetNamespace="http://schemas.microsoft.com/office/2006/metadata/properties" ma:root="true" ma:fieldsID="4004eca06023e5d6680121ae25a07d1c" ns2:_="" ns3:_="">
    <xsd:import namespace="af7586c3-3852-4f74-b962-687767a32e74"/>
    <xsd:import namespace="362e44f8-346d-4649-90ee-f10e4e9978c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586c3-3852-4f74-b962-687767a32e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83811d-6e7a-423d-9c25-b25645f648d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2e44f8-346d-4649-90ee-f10e4e9978c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5ed0832-65eb-4601-841f-2eb1492fea64}" ma:internalName="TaxCatchAll" ma:showField="CatchAllData" ma:web="362e44f8-346d-4649-90ee-f10e4e9978c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62e44f8-346d-4649-90ee-f10e4e9978c2" xsi:nil="true"/>
    <lcf76f155ced4ddcb4097134ff3c332f xmlns="af7586c3-3852-4f74-b962-687767a32e7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8555760-9DA5-4915-8047-9E92549B9510}"/>
</file>

<file path=customXml/itemProps2.xml><?xml version="1.0" encoding="utf-8"?>
<ds:datastoreItem xmlns:ds="http://schemas.openxmlformats.org/officeDocument/2006/customXml" ds:itemID="{B6F5EF4F-2A7A-4F31-B664-8BE916870397}"/>
</file>

<file path=customXml/itemProps3.xml><?xml version="1.0" encoding="utf-8"?>
<ds:datastoreItem xmlns:ds="http://schemas.openxmlformats.org/officeDocument/2006/customXml" ds:itemID="{00CBC539-64B5-4B80-9D28-74109EE8C3FF}"/>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Summary Calculations</vt:lpstr>
      <vt:lpstr>Water Balance</vt:lpstr>
      <vt:lpstr>Nutrient Balance</vt:lpstr>
      <vt:lpstr>Sheet2</vt:lpstr>
      <vt:lpstr>'Nutrient Balance'!Print_Area</vt:lpstr>
      <vt:lpstr>'Water Balance'!Print_Area</vt:lpstr>
      <vt:lpstr>Soilddown</vt:lpstr>
    </vt:vector>
  </TitlesOfParts>
  <Company>Whitehead &amp; Associates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Whitehead</dc:creator>
  <cp:lastModifiedBy>Thornton, Mia</cp:lastModifiedBy>
  <cp:lastPrinted>2023-08-18T00:54:17Z</cp:lastPrinted>
  <dcterms:created xsi:type="dcterms:W3CDTF">2000-08-28T01:48:05Z</dcterms:created>
  <dcterms:modified xsi:type="dcterms:W3CDTF">2024-07-03T03:37:03Z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0x010100FD0DEA19DFFA5440840FB4ED02869A7F</vt:lpwstr>
  </property>
</Properties>
</file>