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C:\Users\Samantha.CS\"/>
    </mc:Choice>
  </mc:AlternateContent>
  <xr:revisionPtr revIDLastSave="0" documentId="13_ncr:1_{B7A5EA9C-9290-4FA5-A03C-7A14A7D83695}" xr6:coauthVersionLast="47" xr6:coauthVersionMax="47" xr10:uidLastSave="{00000000-0000-0000-0000-000000000000}"/>
  <bookViews>
    <workbookView xWindow="-120" yWindow="-120" windowWidth="38640" windowHeight="15720" xr2:uid="{00000000-000D-0000-FFFF-FFFF00000000}"/>
  </bookViews>
  <sheets>
    <sheet name="Summary Calculations" sheetId="13" r:id="rId1"/>
    <sheet name="Water Balance" sheetId="11" r:id="rId2"/>
    <sheet name="Nutrient Balance" sheetId="12" r:id="rId3"/>
    <sheet name="Sheet2" sheetId="14" r:id="rId4"/>
  </sheets>
  <definedNames>
    <definedName name="cleardays" localSheetId="1">'Water Balance'!#REF!</definedName>
    <definedName name="cloudydays" localSheetId="1">'Water Balance'!#REF!</definedName>
    <definedName name="daysofrain" localSheetId="1">'Water Balance'!#REF!</definedName>
    <definedName name="_xlnm.Print_Area" localSheetId="2">'Nutrient Balance'!$A$1:$K$37</definedName>
    <definedName name="_xlnm.Print_Area" localSheetId="1">'Water Balance'!$A$1:$Q$37</definedName>
    <definedName name="Soilddown">SoilType[LHI Soils]</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2" i="12"/>
  <c r="P5" i="11"/>
  <c r="P6" i="11" s="1"/>
  <c r="I16" i="13"/>
  <c r="G11" i="12" s="1"/>
  <c r="H16" i="13"/>
  <c r="G12" i="12" s="1"/>
  <c r="C14" i="12"/>
  <c r="C13" i="12"/>
  <c r="C9" i="12"/>
  <c r="G30" i="13"/>
  <c r="G9" i="12" s="1"/>
  <c r="F30" i="13"/>
  <c r="G8" i="12" s="1"/>
  <c r="T18" i="12" a="1"/>
  <c r="T18" i="12" s="1"/>
  <c r="G16" i="13"/>
  <c r="C9" i="11" s="1"/>
  <c r="F16" i="13"/>
  <c r="C6" i="11" s="1"/>
  <c r="AA9" i="11" a="1"/>
  <c r="AA9" i="11" s="1"/>
  <c r="A1" i="14"/>
  <c r="A3" i="14" s="1"/>
  <c r="E8" i="13" s="1"/>
  <c r="P7" i="11" l="1"/>
  <c r="E5" i="13" s="1"/>
  <c r="P17" i="11"/>
  <c r="P21" i="11" s="1"/>
  <c r="O17" i="11"/>
  <c r="O21" i="11" s="1"/>
  <c r="N17" i="11"/>
  <c r="N21" i="11" s="1"/>
  <c r="M17" i="11"/>
  <c r="M21" i="11" s="1"/>
  <c r="L17" i="11"/>
  <c r="L21" i="11" s="1"/>
  <c r="K17" i="11"/>
  <c r="K21" i="11" s="1"/>
  <c r="J17" i="11"/>
  <c r="J21" i="11" s="1"/>
  <c r="I17" i="11"/>
  <c r="I21" i="11" s="1"/>
  <c r="H17" i="11"/>
  <c r="H21" i="11" s="1"/>
  <c r="G17" i="11"/>
  <c r="F17" i="11"/>
  <c r="F21" i="11" s="1"/>
  <c r="E17" i="11"/>
  <c r="E21" i="11" s="1"/>
  <c r="Q16" i="11"/>
  <c r="G21" i="11"/>
  <c r="J9" i="12"/>
  <c r="I28" i="12" s="1"/>
  <c r="J8" i="12"/>
  <c r="B29" i="12"/>
  <c r="J11" i="12" s="1"/>
  <c r="E22" i="11"/>
  <c r="Q15" i="11"/>
  <c r="E25" i="11"/>
  <c r="F25" i="11"/>
  <c r="G25" i="11"/>
  <c r="H25" i="11"/>
  <c r="I25" i="11"/>
  <c r="J25" i="11"/>
  <c r="K25" i="11"/>
  <c r="L25" i="11"/>
  <c r="M25" i="11"/>
  <c r="M22" i="11"/>
  <c r="N25" i="11"/>
  <c r="O25" i="11"/>
  <c r="P25" i="11"/>
  <c r="P22" i="11"/>
  <c r="O22" i="11"/>
  <c r="J22" i="11"/>
  <c r="H22" i="11"/>
  <c r="I22" i="11"/>
  <c r="F22" i="11"/>
  <c r="N22" i="11"/>
  <c r="G22" i="11"/>
  <c r="K22" i="11"/>
  <c r="L22" i="11"/>
  <c r="E12" i="13" l="1"/>
  <c r="C5" i="11" s="1"/>
  <c r="I34" i="11" s="1"/>
  <c r="B30" i="12"/>
  <c r="I30" i="12" s="1"/>
  <c r="Q25" i="11"/>
  <c r="L23" i="11"/>
  <c r="P23" i="11"/>
  <c r="M23" i="11"/>
  <c r="G23" i="11"/>
  <c r="O23" i="11"/>
  <c r="Q17" i="11"/>
  <c r="Q21" i="11"/>
  <c r="E23" i="11"/>
  <c r="K23" i="11"/>
  <c r="F23" i="11"/>
  <c r="J23" i="11"/>
  <c r="Q22" i="11"/>
  <c r="I23" i="11"/>
  <c r="N23" i="11"/>
  <c r="H23" i="11"/>
  <c r="C8" i="12" l="1"/>
  <c r="H34" i="11"/>
  <c r="L34" i="11"/>
  <c r="P34" i="11"/>
  <c r="O34" i="11"/>
  <c r="N34" i="11"/>
  <c r="F34" i="11"/>
  <c r="E34" i="11"/>
  <c r="J34" i="11"/>
  <c r="K34" i="11"/>
  <c r="M34" i="11"/>
  <c r="G34" i="11"/>
  <c r="Q23" i="11"/>
  <c r="H18" i="12" l="1"/>
  <c r="E19" i="13"/>
  <c r="E33" i="13" s="1"/>
  <c r="C11" i="12"/>
  <c r="C12" i="12" s="1"/>
  <c r="B18" i="12" s="1"/>
  <c r="E34" i="13" s="1"/>
  <c r="B27" i="12"/>
  <c r="L26" i="11"/>
  <c r="L27" i="11" s="1"/>
  <c r="L30" i="11" s="1"/>
  <c r="N26" i="11"/>
  <c r="N27" i="11" s="1"/>
  <c r="N30" i="11" s="1"/>
  <c r="O26" i="11"/>
  <c r="O27" i="11" s="1"/>
  <c r="O30" i="11" s="1"/>
  <c r="F26" i="11"/>
  <c r="F27" i="11" s="1"/>
  <c r="F30" i="11" s="1"/>
  <c r="P26" i="11"/>
  <c r="P27" i="11" s="1"/>
  <c r="P30" i="11" s="1"/>
  <c r="G26" i="11"/>
  <c r="G27" i="11" s="1"/>
  <c r="G30" i="11" s="1"/>
  <c r="I26" i="11"/>
  <c r="I27" i="11" s="1"/>
  <c r="I30" i="11" s="1"/>
  <c r="M26" i="11"/>
  <c r="M27" i="11" s="1"/>
  <c r="M30" i="11" s="1"/>
  <c r="H26" i="11"/>
  <c r="H27" i="11" s="1"/>
  <c r="H30" i="11" s="1"/>
  <c r="J26" i="11"/>
  <c r="J27" i="11" s="1"/>
  <c r="J30" i="11" s="1"/>
  <c r="K26" i="11"/>
  <c r="K27" i="11" s="1"/>
  <c r="K30" i="11" s="1"/>
  <c r="E26" i="11"/>
  <c r="E27" i="11" s="1"/>
  <c r="E30" i="11" s="1"/>
  <c r="E31" i="11" s="1"/>
  <c r="I27" i="12" l="1"/>
  <c r="H20" i="12" s="1"/>
  <c r="B26" i="12"/>
  <c r="B31" i="12" s="1"/>
  <c r="H19" i="12"/>
  <c r="F29" i="11"/>
  <c r="F31" i="11" s="1"/>
  <c r="G29" i="11" s="1"/>
  <c r="G31" i="11" s="1"/>
  <c r="H29" i="11" s="1"/>
  <c r="H31" i="11" s="1"/>
  <c r="I29" i="11" s="1"/>
  <c r="I31" i="11" s="1"/>
  <c r="J29" i="11" s="1"/>
  <c r="J31" i="11" s="1"/>
  <c r="K29" i="11" s="1"/>
  <c r="K31" i="11" s="1"/>
  <c r="L29" i="11" s="1"/>
  <c r="L31" i="11" s="1"/>
  <c r="M29" i="11" s="1"/>
  <c r="M31" i="11" s="1"/>
  <c r="N29" i="11" s="1"/>
  <c r="N31" i="11" s="1"/>
  <c r="O29" i="11" s="1"/>
  <c r="O31" i="11" s="1"/>
  <c r="P29" i="11" s="1"/>
  <c r="P31" i="11" s="1"/>
  <c r="Q26" i="11"/>
  <c r="Q27" i="11" s="1"/>
  <c r="B19" i="12" l="1"/>
  <c r="B28" i="12"/>
  <c r="B33" i="12" s="1"/>
  <c r="H21" i="12" s="1"/>
  <c r="E32" i="11"/>
  <c r="E33" i="11" s="1"/>
  <c r="E36" i="11" s="1"/>
  <c r="E35" i="13" l="1"/>
  <c r="E40" i="13" s="1"/>
  <c r="J4" i="12"/>
  <c r="H22" i="12"/>
  <c r="I31" i="12"/>
  <c r="I32"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<sst xmlns="http://schemas.openxmlformats.org/spreadsheetml/2006/main" count="342" uniqueCount="241">
  <si>
    <t>Design Wastewater Flow</t>
  </si>
  <si>
    <t>Q</t>
  </si>
  <si>
    <t>R</t>
  </si>
  <si>
    <t>Parameter</t>
  </si>
  <si>
    <t>Symbol</t>
  </si>
  <si>
    <t>Formula</t>
  </si>
  <si>
    <t>Units</t>
  </si>
  <si>
    <t>Jan</t>
  </si>
  <si>
    <t>Feb</t>
  </si>
  <si>
    <t>Mar</t>
  </si>
  <si>
    <t>Apr</t>
  </si>
  <si>
    <t>May</t>
  </si>
  <si>
    <t>Jun</t>
  </si>
  <si>
    <t>Jul</t>
  </si>
  <si>
    <t>Aug</t>
  </si>
  <si>
    <t>Sep</t>
  </si>
  <si>
    <t>Oct</t>
  </si>
  <si>
    <t>Nov</t>
  </si>
  <si>
    <t>Dec</t>
  </si>
  <si>
    <t>Total</t>
  </si>
  <si>
    <t>Days in month</t>
  </si>
  <si>
    <t>Rainfall</t>
  </si>
  <si>
    <t>Evaporation</t>
  </si>
  <si>
    <t>Crop Factor</t>
  </si>
  <si>
    <t>OUTPUTS</t>
  </si>
  <si>
    <t>Evapotranspiration</t>
  </si>
  <si>
    <t>Percolation</t>
  </si>
  <si>
    <t>Outputs</t>
  </si>
  <si>
    <t>INPUTS</t>
  </si>
  <si>
    <t>Inputs</t>
  </si>
  <si>
    <t>Cumulative Storage</t>
  </si>
  <si>
    <t>D</t>
  </si>
  <si>
    <t>E</t>
  </si>
  <si>
    <t>C</t>
  </si>
  <si>
    <t>ET</t>
  </si>
  <si>
    <t>B</t>
  </si>
  <si>
    <t>W</t>
  </si>
  <si>
    <t>S</t>
  </si>
  <si>
    <t>M</t>
  </si>
  <si>
    <t>L</t>
  </si>
  <si>
    <t>V</t>
  </si>
  <si>
    <t>ExC</t>
  </si>
  <si>
    <t>ET+B</t>
  </si>
  <si>
    <t>N</t>
  </si>
  <si>
    <t>\</t>
  </si>
  <si>
    <t>days</t>
  </si>
  <si>
    <t>mm/month</t>
  </si>
  <si>
    <t>mm</t>
  </si>
  <si>
    <t>NxL</t>
  </si>
  <si>
    <t>Effluent Irrigation</t>
  </si>
  <si>
    <t>(QxD)/L</t>
  </si>
  <si>
    <t>Retained Rainfall</t>
  </si>
  <si>
    <t>RR</t>
  </si>
  <si>
    <t>RR+W</t>
  </si>
  <si>
    <t>(RR+W)-(ET+B)</t>
  </si>
  <si>
    <t>Storage remaining from previous month</t>
  </si>
  <si>
    <t>Rainfall Data</t>
  </si>
  <si>
    <t>Evaporation Data</t>
  </si>
  <si>
    <t>L/day</t>
  </si>
  <si>
    <t xml:space="preserve"> </t>
  </si>
  <si>
    <t>Please read the attached notes before using this spreadsheet.</t>
  </si>
  <si>
    <r>
      <t>m</t>
    </r>
    <r>
      <rPr>
        <b/>
        <vertAlign val="superscript"/>
        <sz val="14"/>
        <rFont val="Arial"/>
        <family val="2"/>
      </rPr>
      <t>2</t>
    </r>
  </si>
  <si>
    <t>NOTES</t>
  </si>
  <si>
    <r>
      <t xml:space="preserve">INPUT DATA </t>
    </r>
    <r>
      <rPr>
        <b/>
        <vertAlign val="superscript"/>
        <sz val="14"/>
        <color indexed="10"/>
        <rFont val="Arial"/>
        <family val="2"/>
      </rPr>
      <t>[1]</t>
    </r>
  </si>
  <si>
    <t>Wastewater Loading</t>
  </si>
  <si>
    <t>Nutrient Crop Uptake</t>
  </si>
  <si>
    <t>Hydraulic Load</t>
  </si>
  <si>
    <t>L/Day</t>
  </si>
  <si>
    <t>Crop N Uptake</t>
  </si>
  <si>
    <t>kg/ha/yr</t>
  </si>
  <si>
    <t>which equals</t>
  </si>
  <si>
    <t>Effluent N Concentration</t>
  </si>
  <si>
    <t>mg/L</t>
  </si>
  <si>
    <t>Crop P Uptake</t>
  </si>
  <si>
    <t>Decimal</t>
  </si>
  <si>
    <t xml:space="preserve">Phosphorus Sorption </t>
  </si>
  <si>
    <t>P-sorption result</t>
  </si>
  <si>
    <t>mg/kg</t>
  </si>
  <si>
    <t>kg/ha</t>
  </si>
  <si>
    <t>Bulk Density</t>
  </si>
  <si>
    <t>Effluent P Concentration</t>
  </si>
  <si>
    <t>Depth of Soil</t>
  </si>
  <si>
    <t xml:space="preserve">m </t>
  </si>
  <si>
    <t>Design Life of System</t>
  </si>
  <si>
    <t>yrs</t>
  </si>
  <si>
    <t>METHOD 1:  NUTRIENT BALANCE BASED ON ANNUAL CROP UPTAKE RATES</t>
  </si>
  <si>
    <t>Minimum Area required with zero buffer</t>
  </si>
  <si>
    <t xml:space="preserve">Determination of Buffer Zone Size for a Nominated Land Application Area (LAA) </t>
  </si>
  <si>
    <t>Nitrogen</t>
  </si>
  <si>
    <r>
      <t>m</t>
    </r>
    <r>
      <rPr>
        <vertAlign val="superscript"/>
        <sz val="10"/>
        <rFont val="Arial"/>
        <family val="2"/>
      </rPr>
      <t>2</t>
    </r>
  </si>
  <si>
    <t>Nominated LAA Size</t>
  </si>
  <si>
    <t>Phosphorus</t>
  </si>
  <si>
    <t>Predicted N Export from LAA</t>
  </si>
  <si>
    <t>kg/year</t>
  </si>
  <si>
    <t>Predicted P Export from LAA</t>
  </si>
  <si>
    <t>Phosphorus Longevity for LAA</t>
  </si>
  <si>
    <t>Years</t>
  </si>
  <si>
    <t>Minimum Buffer Required for excess nutrient</t>
  </si>
  <si>
    <t xml:space="preserve">STEP 1: Using the nominated LAA Size </t>
  </si>
  <si>
    <t>kg</t>
  </si>
  <si>
    <t>PHOSPHORUS BALANCE</t>
  </si>
  <si>
    <t>Daily P Load</t>
  </si>
  <si>
    <t>kg/day</t>
  </si>
  <si>
    <t>Phosphorus generated over life of system</t>
  </si>
  <si>
    <t>Daily Uptake</t>
  </si>
  <si>
    <t>Phosphorus vegetative uptake for life of system</t>
  </si>
  <si>
    <r>
      <t>kg/m</t>
    </r>
    <r>
      <rPr>
        <vertAlign val="superscript"/>
        <sz val="10"/>
        <rFont val="Arial"/>
        <family val="2"/>
      </rPr>
      <t>2</t>
    </r>
  </si>
  <si>
    <t>Measured p-sorption capacity</t>
  </si>
  <si>
    <t>Assumed p-sorption capacity</t>
  </si>
  <si>
    <t>Phosphorus adsorbed in 50 years</t>
  </si>
  <si>
    <t>Site P-sorption capacity</t>
  </si>
  <si>
    <t>Desired Annual P Application Rate</t>
  </si>
  <si>
    <r>
      <t>mg/m</t>
    </r>
    <r>
      <rPr>
        <vertAlign val="superscript"/>
        <sz val="10"/>
        <rFont val="Arial"/>
        <family val="2"/>
      </rPr>
      <t>2</t>
    </r>
    <r>
      <rPr>
        <sz val="10"/>
        <rFont val="Arial"/>
        <family val="2"/>
      </rPr>
      <t>/day</t>
    </r>
  </si>
  <si>
    <r>
      <t>m</t>
    </r>
    <r>
      <rPr>
        <vertAlign val="superscript"/>
        <sz val="12"/>
        <rFont val="Arial"/>
        <family val="2"/>
      </rPr>
      <t>2</t>
    </r>
  </si>
  <si>
    <t>Nominated Land Application Area</t>
  </si>
  <si>
    <t>mm/day</t>
  </si>
  <si>
    <t>unitless</t>
  </si>
  <si>
    <t>Nutrient Balance</t>
  </si>
  <si>
    <t>Site Address:</t>
  </si>
  <si>
    <t>Nominated Area Water Balance &amp; Storage Calculations</t>
  </si>
  <si>
    <t>STORAGE CALCULATION</t>
  </si>
  <si>
    <t>Storage for the month</t>
  </si>
  <si>
    <t>Maximum Storage for Nominated Area</t>
  </si>
  <si>
    <t>LAND AREA REQUIRED FOR ZERO STORAGE</t>
  </si>
  <si>
    <t>MINIMUM AREA REQUIRED FOR ZERO STORAGE:</t>
  </si>
  <si>
    <t>INPUT DATA</t>
  </si>
  <si>
    <t>Total N Loss to Soil</t>
  </si>
  <si>
    <t>P-load to be sorbed</t>
  </si>
  <si>
    <t>0.7-0.8</t>
  </si>
  <si>
    <t>Remaining N Load after soil loss</t>
  </si>
  <si>
    <t>% Lost to Soil Processes (Geary &amp; Gardner 1996)</t>
  </si>
  <si>
    <t>mg/day</t>
  </si>
  <si>
    <t>(DPR/7)xD</t>
  </si>
  <si>
    <t>Daily Evaporation</t>
  </si>
  <si>
    <t>Flow Allowance</t>
  </si>
  <si>
    <t>No. of bedrooms</t>
  </si>
  <si>
    <t>L/p/d</t>
  </si>
  <si>
    <t>Estimates evapotranspiration as a fraction of pan evaporation; varies with season and crop type</t>
  </si>
  <si>
    <t>Proportion of rainfall that remains onsite and infiltrates; function of slope/cover, allowing for any runoff</t>
  </si>
  <si>
    <t xml:space="preserve">Mean Monthly Data </t>
  </si>
  <si>
    <t>[2]. Conservative estimate based on work by Geary &amp; Gardner (1996) and Patterson (2002).</t>
  </si>
  <si>
    <t>[3]. A multiplier, normally between 0.25 and 0.75, is used to estimate actual P-sorption under field conditions which is assumed to be less than laboratory estimates.</t>
  </si>
  <si>
    <r>
      <t xml:space="preserve">[1]. Model sensitivity to input parameters will affect the accuracy of the result obtained.  Where possible site specific data should be used.  Otherwise data should be obtained from a reliable source such as,
- </t>
    </r>
    <r>
      <rPr>
        <i/>
        <sz val="10"/>
        <rFont val="Arial"/>
        <family val="2"/>
      </rPr>
      <t>Environment and Health Protection Guidelines: Onsite Sewage Management for Single Households
- Appropriate Peer Reviewed Papers 
- EPA Guidelines for Effluent Irrigation
- USEPA Onsite Systems Manual.</t>
    </r>
  </si>
  <si>
    <t>Lord Howe Island Aero BoM 200839</t>
  </si>
  <si>
    <t>Beds + 1</t>
  </si>
  <si>
    <t>LHI Soils</t>
  </si>
  <si>
    <t>Sand</t>
  </si>
  <si>
    <t>DPR</t>
  </si>
  <si>
    <t>units</t>
  </si>
  <si>
    <t>Effective rainfall</t>
  </si>
  <si>
    <t>Norfolk Island BoM 200288</t>
  </si>
  <si>
    <t xml:space="preserve">Daily DPR </t>
  </si>
  <si>
    <t>number</t>
  </si>
  <si>
    <r>
      <t>R</t>
    </r>
    <r>
      <rPr>
        <vertAlign val="subscript"/>
        <sz val="12"/>
        <rFont val="Arial"/>
        <family val="2"/>
      </rPr>
      <t>C</t>
    </r>
  </si>
  <si>
    <r>
      <t>Equivalent to litres per m</t>
    </r>
    <r>
      <rPr>
        <vertAlign val="superscript"/>
        <sz val="12"/>
        <rFont val="Arial"/>
        <family val="2"/>
      </rPr>
      <t>2</t>
    </r>
    <r>
      <rPr>
        <sz val="12"/>
        <rFont val="Arial"/>
        <family val="2"/>
      </rPr>
      <t xml:space="preserve"> per day - based on LHI Strategy for secondary effluent</t>
    </r>
  </si>
  <si>
    <t>1. Enter the property address in Cell B2.</t>
  </si>
  <si>
    <t>6. Mean monthly rainfall data for Lord Howe Island Aero and daily evaporation data for Norfolk Island are used in the water balance spreadsheet. The spreadsheet is already populated with these values.</t>
  </si>
  <si>
    <t>OCCUPANCY</t>
  </si>
  <si>
    <t>SOILS</t>
  </si>
  <si>
    <t>Effective Rainfall/Runoff Coefficient</t>
  </si>
  <si>
    <t>Daily Design Percolation Rate</t>
  </si>
  <si>
    <t>L/d</t>
  </si>
  <si>
    <t>Occupancy</t>
  </si>
  <si>
    <t>Design Flow</t>
  </si>
  <si>
    <t>3. For non-domestic premises determine the daily hydrauic load. This value should represent maximum potential occupancy and should take into consideration all possible wastewater generating activities. For non-domestic premises this value should be transferred to Cell C4.</t>
  </si>
  <si>
    <t>4. Determine the soil type in the proposed land application area. Depending on the soil type, select the appropriate value for Daily Design Percolation Rate (Daily DPR) from Cells U4, U5 or U6. Enter the selected Daily DPR value in Cell C5.</t>
  </si>
  <si>
    <t xml:space="preserve">5. Again depending on the soil type, select the appropriate value for Effective Rainfall (Rainfall Runoff Coefficient) from Cells W4, W5 or W6. Enter the selected Rainfall Runoff Coefficient value in Cell C8.  </t>
  </si>
  <si>
    <t>7. The spreadsheet is also already populated with appropriate Crop Factor values used to convert Evaporation data to Evapotranspiration.</t>
  </si>
  <si>
    <r>
      <t>% of Predicted P-sorp.</t>
    </r>
    <r>
      <rPr>
        <vertAlign val="superscript"/>
        <sz val="14"/>
        <rFont val="Arial"/>
        <family val="2"/>
      </rPr>
      <t>[2]</t>
    </r>
  </si>
  <si>
    <t>EFFLUENT NUTRIENT CONCENTRATION</t>
  </si>
  <si>
    <t>System type</t>
  </si>
  <si>
    <t>Secondary treatment (AWTS)</t>
  </si>
  <si>
    <t>Fuji Clean CE1500EX</t>
  </si>
  <si>
    <t>Fuji Clean CRX1500</t>
  </si>
  <si>
    <t>Rootzone Model 1200</t>
  </si>
  <si>
    <t>CROP NUTRIENT UPTAKE</t>
  </si>
  <si>
    <t>Vegetation type</t>
  </si>
  <si>
    <t>Kikuyu</t>
  </si>
  <si>
    <t>Coastal rainforest</t>
  </si>
  <si>
    <t>Kentia palm plantation</t>
  </si>
  <si>
    <t>P-sorption</t>
  </si>
  <si>
    <t>Calcareous earth</t>
  </si>
  <si>
    <t>Volcanic soil</t>
  </si>
  <si>
    <t>SOIL PHOSPHORUS SORPTION</t>
  </si>
  <si>
    <t>Significant natural vegetation</t>
  </si>
  <si>
    <r>
      <t>g/cm</t>
    </r>
    <r>
      <rPr>
        <vertAlign val="superscript"/>
        <sz val="10"/>
        <rFont val="Arial"/>
        <family val="2"/>
      </rPr>
      <t>3</t>
    </r>
  </si>
  <si>
    <t>SOIL BULK DENSITY</t>
  </si>
  <si>
    <t>8. The spreadsheet automatically calculates the land application area required to avoid the need for wet weather storage in all months. This is the maximum value of Cells E33 to P33. This value should be inserted in Cell C6. If this area cannot be achieved, it is possible to enter lesser values in Cell C6, in which case the words "Storage Required" appear in Cell E35 and the required "wet weather" storage volume will be shown in Cell E32.</t>
  </si>
  <si>
    <t>SUMMARY - LAND APPLICATION AREA REQUIRED BASED ON THE MOST LIMITING BALANCE =</t>
  </si>
  <si>
    <t>1. Select the appropriate effluent nutrient concentration for the chosen treatment system type and enter the respective values for nitrogen and phosphorus in Cells C9 and C13.</t>
  </si>
  <si>
    <t>3. Select the appropriate soil phosphorus sorption value for the soil type in the land application area and enter the value in Cell G11.</t>
  </si>
  <si>
    <t>4. Select the appropriate soil bulk density value for the soil type in the land application area and enter the value in Cell G12.</t>
  </si>
  <si>
    <t>5. Set the appropriate depth of soil in the land application area in Cell G13. It is recommended that this depth not exceed 0.8 metres unless site specific data has been obtained and the soil is of uniform character for the whole depth of the soil.</t>
  </si>
  <si>
    <t>6. The minimum required land application area to meet the requirements of the water and nutrient balance is identified in Cell J4.</t>
  </si>
  <si>
    <t>2. For domestic premises, determine number of bedrooms and enter number in Cell P5. This will then calculate the daily design wastewater flow on the basis of occupancy of two persons for the first bedroom and one person for each subsequent bedroom. The daily
 hydraulic load will then be displayed in Cell Q6. This value should then be transferred to Cell C4.</t>
  </si>
  <si>
    <t>2. Select the appropriate crop nutrient uptake rates for the vegetation type in the land application area and enter the respective values for nitrogen and phosphorus in Cells G8 and G9.</t>
  </si>
  <si>
    <t>Based on analysis of LHI soils 2014</t>
  </si>
  <si>
    <t>Bedrooms</t>
  </si>
  <si>
    <t>pax</t>
  </si>
  <si>
    <t>EP</t>
  </si>
  <si>
    <t>T</t>
  </si>
  <si>
    <t>Column1</t>
  </si>
  <si>
    <t>Column2</t>
  </si>
  <si>
    <t>units3</t>
  </si>
  <si>
    <t>Water Balance</t>
  </si>
  <si>
    <t>Effluent Value</t>
  </si>
  <si>
    <t>Vegetation of Irrigation area</t>
  </si>
  <si>
    <t>Bulk denisity</t>
  </si>
  <si>
    <t>Phospurus sorpion</t>
  </si>
  <si>
    <t>Area according to limiting factor</t>
  </si>
  <si>
    <t>Daily DPR</t>
  </si>
  <si>
    <t>Rainfall Co</t>
  </si>
  <si>
    <t>Area required</t>
  </si>
  <si>
    <t>Instructions</t>
  </si>
  <si>
    <t>Overview</t>
  </si>
  <si>
    <t>This water and nutrience balance spreadsheet has been developed for the purpose of providing guidance to applicants seeking to install or renew wastewater management systems on Lord Howe Island (LHI).</t>
  </si>
  <si>
    <t>Square metres</t>
  </si>
  <si>
    <t>Litres/Day</t>
  </si>
  <si>
    <t>Litres/day</t>
  </si>
  <si>
    <t>Persons</t>
  </si>
  <si>
    <t>Please fill in all green cells including:</t>
  </si>
  <si>
    <t>Number of bedrooms the wastewater management system is proposed to service.</t>
  </si>
  <si>
    <t>The total capacity of tourists that the wastewater management system will service.</t>
  </si>
  <si>
    <t xml:space="preserve">Select the soil type from the drop down list. Soil types need to be demonstrated with photographic evidence. </t>
  </si>
  <si>
    <t>Input the name and brand of the proposed system.</t>
  </si>
  <si>
    <t>Input the effluent nitrogen (N) concentration (from supplier).</t>
  </si>
  <si>
    <t>Input the design life of the system (from supplier).</t>
  </si>
  <si>
    <t xml:space="preserve">From the dropdown list, select the vegetation types where the irrigation area is proposed. Where effluent disposal is proposed in the SNV, a construction management plan may be required. </t>
  </si>
  <si>
    <t>How many Bedrooms does the infrastructure contain?</t>
  </si>
  <si>
    <t>Your total Hydraulic load is:</t>
  </si>
  <si>
    <t>What Soil type is your irrigation area?</t>
  </si>
  <si>
    <t>Area required for water balance:</t>
  </si>
  <si>
    <t xml:space="preserve">Address/Property Name </t>
  </si>
  <si>
    <t>Address/property name</t>
  </si>
  <si>
    <t xml:space="preserve">The Spreadsheet has been developed by the Lord Howe Island Board (LHIB) to be consistent with the Wastewater Management Strategy for LHI. </t>
  </si>
  <si>
    <t xml:space="preserve">The information contained in this spreadsheet does not prevent the LHIB from requesting additional information and calculations in relation to the effluent management system at the LHIB's discretion. </t>
  </si>
  <si>
    <t>What is the minimum number of tourist that the system services?</t>
  </si>
  <si>
    <t>Do you have any additional hydraulic load on the system (transit room, restaurant, commercial fittings, etc)?</t>
  </si>
  <si>
    <t xml:space="preserve">Calculated additional hydraulic load created by activities that are ancillary or separate to residential or tourist accommodation. Note that detailed calculations need to be provided, demonstrating the method for calculating the additional loads. </t>
  </si>
  <si>
    <t>Input the effluent phosphorous (P) concentration (from supplier).</t>
  </si>
  <si>
    <t xml:space="preserve">The area required for the irrigation area is taken as the highest limiting factor from water balance, nitrogen and phosphorous calculations.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</si>
</sst>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
  </numFmts>
  <fonts count="32" x14ac:knownFonts="1">
    <font>
      <sz val="12"/>
      <name val="Times New Roman"/>
    </font>
    <font>
      <sz val="10"/>
      <name val="Arial"/>
      <family val="2"/>
    </font>
    <font>
      <b/>
      <sz val="10"/>
      <name val="Arial"/>
      <family val="2"/>
    </font>
    <font>
      <sz val="12"/>
      <name val="Arial"/>
      <family val="2"/>
    </font>
    <font>
      <b/>
      <sz val="24"/>
      <name val="Arial"/>
      <family val="2"/>
    </font>
    <font>
      <b/>
      <u/>
      <sz val="24"/>
      <name val="Arial"/>
      <family val="2"/>
    </font>
    <font>
      <b/>
      <sz val="12"/>
      <name val="Arial"/>
      <family val="2"/>
    </font>
    <font>
      <i/>
      <sz val="12"/>
      <name val="Arial"/>
      <family val="2"/>
    </font>
    <font>
      <b/>
      <sz val="14"/>
      <name val="Arial"/>
      <family val="2"/>
    </font>
    <font>
      <sz val="14"/>
      <name val="Arial"/>
      <family val="2"/>
    </font>
    <font>
      <b/>
      <vertAlign val="superscript"/>
      <sz val="14"/>
      <name val="Arial"/>
      <family val="2"/>
    </font>
    <font>
      <b/>
      <vertAlign val="superscript"/>
      <sz val="14"/>
      <color indexed="10"/>
      <name val="Arial"/>
      <family val="2"/>
    </font>
    <font>
      <i/>
      <sz val="10"/>
      <name val="Arial"/>
      <family val="2"/>
    </font>
    <font>
      <b/>
      <sz val="10"/>
      <color indexed="10"/>
      <name val="Arial"/>
      <family val="2"/>
    </font>
    <font>
      <vertAlign val="superscript"/>
      <sz val="10"/>
      <name val="Arial"/>
      <family val="2"/>
    </font>
    <font>
      <sz val="10"/>
      <name val="Arial"/>
      <family val="2"/>
    </font>
    <font>
      <b/>
      <sz val="12"/>
      <color indexed="10"/>
      <name val="Arial"/>
      <family val="2"/>
    </font>
    <font>
      <vertAlign val="superscript"/>
      <sz val="12"/>
      <name val="Arial"/>
      <family val="2"/>
    </font>
    <font>
      <b/>
      <sz val="12"/>
      <color indexed="61"/>
      <name val="Arial"/>
      <family val="2"/>
    </font>
    <font>
      <b/>
      <sz val="18"/>
      <name val="Arial"/>
      <family val="2"/>
    </font>
    <font>
      <sz val="24"/>
      <name val="Times New Roman"/>
      <family val="1"/>
    </font>
    <font>
      <b/>
      <sz val="14"/>
      <color indexed="10"/>
      <name val="Arial"/>
      <family val="2"/>
    </font>
    <font>
      <sz val="12"/>
      <color indexed="8"/>
      <name val="Arial"/>
      <family val="2"/>
    </font>
    <font>
      <sz val="12"/>
      <color indexed="10"/>
      <name val="Arial"/>
      <family val="2"/>
    </font>
    <font>
      <sz val="12"/>
      <color indexed="12"/>
      <name val="Arial"/>
      <family val="2"/>
    </font>
    <font>
      <sz val="9.6"/>
      <name val="Arial"/>
      <family val="2"/>
    </font>
    <font>
      <vertAlign val="subscript"/>
      <sz val="12"/>
      <name val="Arial"/>
      <family val="2"/>
    </font>
    <font>
      <vertAlign val="superscript"/>
      <sz val="14"/>
      <name val="Arial"/>
      <family val="2"/>
    </font>
    <font>
      <sz val="12"/>
      <color theme="0"/>
      <name val="Times New Roman"/>
      <family val="1"/>
    </font>
    <font>
      <sz val="10"/>
      <color theme="0"/>
      <name val="Arial"/>
      <family val="2"/>
    </font>
    <font>
      <b/>
      <sz val="10"/>
      <color rgb="FFFF0000"/>
      <name val="Arial"/>
      <family val="2"/>
    </font>
    <font>
      <b/>
      <sz val="12"/>
      <name val="Times New Roman"/>
      <family val="1"/>
    </font>
  </fonts>
  <fills count="13">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11"/>
        <bgColor indexed="64"/>
      </patternFill>
    </fill>
    <fill>
      <patternFill patternType="solid">
        <fgColor theme="0"/>
        <bgColor indexed="64"/>
      </patternFill>
    </fill>
    <fill>
      <patternFill patternType="solid">
        <fgColor rgb="FFFFFF99"/>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4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5" fillId="0" borderId="0"/>
  </cellStyleXfs>
  <cellXfs count="273">
    <xf numFmtId="0" fontId="0" fillId="0" borderId="0" xfId="0"/>
    <xf numFmtId="0" fontId="1" fillId="0" borderId="0" xfId="0" applyFont="1" applyAlignment="1">
      <alignment horizontal="center"/>
    </xf>
    <xf numFmtId="0" fontId="3" fillId="0" borderId="0" xfId="0" applyFont="1"/>
    <xf numFmtId="0" fontId="1" fillId="0" borderId="0" xfId="0" applyFont="1"/>
    <xf numFmtId="0" fontId="6" fillId="0" borderId="0" xfId="0" applyFont="1"/>
    <xf numFmtId="0" fontId="6" fillId="0" borderId="0" xfId="1" applyFont="1"/>
    <xf numFmtId="0" fontId="15" fillId="0" borderId="0" xfId="1"/>
    <xf numFmtId="0" fontId="1" fillId="6" borderId="0" xfId="0" applyFont="1" applyFill="1" applyAlignment="1">
      <alignment horizontal="center"/>
    </xf>
    <xf numFmtId="0" fontId="0" fillId="0" borderId="0" xfId="0" applyAlignment="1">
      <alignment wrapText="1"/>
    </xf>
    <xf numFmtId="0" fontId="0" fillId="0" borderId="0" xfId="0" applyAlignment="1">
      <alignment horizontal="left"/>
    </xf>
    <xf numFmtId="0" fontId="28" fillId="0" borderId="0" xfId="0" applyFont="1"/>
    <xf numFmtId="0" fontId="29" fillId="0" borderId="7" xfId="1" applyFont="1" applyBorder="1" applyAlignment="1" applyProtection="1">
      <alignment horizontal="left"/>
      <protection locked="0" hidden="1"/>
    </xf>
    <xf numFmtId="0" fontId="1" fillId="10" borderId="40" xfId="0" applyFont="1" applyFill="1" applyBorder="1" applyProtection="1">
      <protection locked="0"/>
    </xf>
    <xf numFmtId="0" fontId="1" fillId="10" borderId="44" xfId="0" applyFont="1" applyFill="1" applyBorder="1" applyProtection="1">
      <protection locked="0"/>
    </xf>
    <xf numFmtId="0" fontId="1" fillId="10" borderId="45" xfId="0" applyFont="1" applyFill="1" applyBorder="1" applyProtection="1">
      <protection locked="0"/>
    </xf>
    <xf numFmtId="0" fontId="1" fillId="10" borderId="46" xfId="0" applyFont="1" applyFill="1" applyBorder="1" applyProtection="1">
      <protection locked="0"/>
    </xf>
    <xf numFmtId="0" fontId="1" fillId="0" borderId="2" xfId="1" applyFont="1" applyBorder="1" applyAlignment="1">
      <alignment horizontal="center"/>
    </xf>
    <xf numFmtId="0" fontId="15" fillId="0" borderId="2" xfId="1" applyBorder="1" applyAlignment="1">
      <alignment horizontal="center"/>
    </xf>
    <xf numFmtId="0" fontId="13" fillId="0" borderId="2" xfId="1" applyFont="1" applyBorder="1"/>
    <xf numFmtId="0" fontId="13" fillId="4" borderId="18" xfId="1" applyFont="1" applyFill="1" applyBorder="1"/>
    <xf numFmtId="0" fontId="13" fillId="3" borderId="18" xfId="1" applyFont="1" applyFill="1" applyBorder="1"/>
    <xf numFmtId="0" fontId="1" fillId="0" borderId="22" xfId="1" applyFont="1" applyBorder="1"/>
    <xf numFmtId="0" fontId="15" fillId="0" borderId="24" xfId="1" applyBorder="1"/>
    <xf numFmtId="0" fontId="1" fillId="0" borderId="24" xfId="1" applyFont="1" applyBorder="1" applyAlignment="1">
      <alignment horizontal="center"/>
    </xf>
    <xf numFmtId="0" fontId="1" fillId="0" borderId="30" xfId="1" applyFont="1" applyBorder="1" applyAlignment="1">
      <alignment horizontal="center"/>
    </xf>
    <xf numFmtId="0" fontId="1" fillId="0" borderId="10" xfId="1" applyFont="1" applyBorder="1"/>
    <xf numFmtId="0" fontId="15" fillId="0" borderId="2" xfId="1" applyBorder="1"/>
    <xf numFmtId="0" fontId="1" fillId="0" borderId="31" xfId="1" applyFont="1" applyBorder="1" applyAlignment="1">
      <alignment horizontal="center"/>
    </xf>
    <xf numFmtId="0" fontId="1" fillId="0" borderId="38" xfId="1" applyFont="1" applyBorder="1"/>
    <xf numFmtId="0" fontId="15" fillId="0" borderId="14" xfId="1" applyBorder="1"/>
    <xf numFmtId="0" fontId="15" fillId="0" borderId="14" xfId="1" applyBorder="1" applyAlignment="1">
      <alignment horizontal="center"/>
    </xf>
    <xf numFmtId="0" fontId="1" fillId="0" borderId="11" xfId="1" applyFont="1" applyBorder="1" applyAlignment="1">
      <alignment horizontal="center"/>
    </xf>
    <xf numFmtId="0" fontId="1" fillId="0" borderId="28" xfId="0" applyFont="1" applyBorder="1"/>
    <xf numFmtId="0" fontId="1" fillId="0" borderId="22" xfId="0" applyFont="1" applyBorder="1"/>
    <xf numFmtId="0" fontId="1" fillId="0" borderId="30" xfId="0" applyFont="1" applyBorder="1" applyAlignment="1">
      <alignment horizontal="center"/>
    </xf>
    <xf numFmtId="0" fontId="1" fillId="0" borderId="22" xfId="0" applyFont="1" applyBorder="1" applyAlignment="1">
      <alignment horizontal="center"/>
    </xf>
    <xf numFmtId="0" fontId="1" fillId="0" borderId="8" xfId="0" applyFont="1" applyBorder="1"/>
    <xf numFmtId="0" fontId="1" fillId="0" borderId="10" xfId="0" applyFont="1" applyBorder="1"/>
    <xf numFmtId="1" fontId="1" fillId="0" borderId="31" xfId="0" applyNumberFormat="1" applyFont="1" applyBorder="1" applyAlignment="1">
      <alignment horizontal="center"/>
    </xf>
    <xf numFmtId="1" fontId="1" fillId="0" borderId="10" xfId="0" applyNumberFormat="1" applyFont="1" applyBorder="1" applyAlignment="1">
      <alignment horizontal="center"/>
    </xf>
    <xf numFmtId="0" fontId="1" fillId="0" borderId="31" xfId="0" applyFont="1" applyBorder="1" applyAlignment="1">
      <alignment horizontal="center"/>
    </xf>
    <xf numFmtId="0" fontId="1" fillId="0" borderId="12" xfId="0" applyFont="1" applyBorder="1"/>
    <xf numFmtId="0" fontId="1" fillId="0" borderId="38" xfId="0" applyFont="1" applyBorder="1"/>
    <xf numFmtId="1" fontId="1" fillId="0" borderId="11" xfId="0" applyNumberFormat="1" applyFont="1" applyBorder="1" applyAlignment="1">
      <alignment horizontal="center"/>
    </xf>
    <xf numFmtId="1" fontId="1" fillId="0" borderId="38" xfId="0" applyNumberFormat="1" applyFont="1" applyBorder="1" applyAlignment="1">
      <alignment horizontal="center"/>
    </xf>
    <xf numFmtId="0" fontId="1" fillId="0" borderId="11" xfId="0" applyFont="1" applyBorder="1" applyAlignment="1">
      <alignment horizontal="center"/>
    </xf>
    <xf numFmtId="164" fontId="1" fillId="0" borderId="31" xfId="0" applyNumberFormat="1" applyFont="1" applyBorder="1" applyAlignment="1">
      <alignment horizontal="center"/>
    </xf>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164" fontId="1" fillId="0" borderId="38" xfId="0" applyNumberFormat="1" applyFont="1" applyBorder="1" applyAlignment="1">
      <alignment horizontal="center"/>
    </xf>
    <xf numFmtId="0" fontId="19" fillId="0" borderId="0" xfId="1" applyFont="1" applyAlignment="1">
      <alignment horizontal="left"/>
    </xf>
    <xf numFmtId="0" fontId="3" fillId="0" borderId="31" xfId="0" applyFont="1" applyBorder="1" applyAlignment="1">
      <alignment horizontal="left"/>
    </xf>
    <xf numFmtId="0" fontId="3" fillId="0" borderId="10" xfId="0" applyFont="1" applyBorder="1" applyAlignment="1">
      <alignment horizontal="left"/>
    </xf>
    <xf numFmtId="0" fontId="3" fillId="7" borderId="2" xfId="0" applyFont="1" applyFill="1" applyBorder="1" applyAlignment="1">
      <alignment horizontal="center"/>
    </xf>
    <xf numFmtId="0" fontId="3" fillId="0" borderId="10" xfId="0" applyFont="1" applyBorder="1" applyAlignment="1">
      <alignment horizontal="center"/>
    </xf>
    <xf numFmtId="0" fontId="3" fillId="0" borderId="28" xfId="0" applyFont="1" applyBorder="1"/>
    <xf numFmtId="0" fontId="3" fillId="0" borderId="22" xfId="0" applyFont="1" applyBorder="1"/>
    <xf numFmtId="0" fontId="3" fillId="0" borderId="30" xfId="0" applyFont="1" applyBorder="1" applyAlignment="1">
      <alignment horizontal="center"/>
    </xf>
    <xf numFmtId="0" fontId="3" fillId="0" borderId="24"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2" xfId="0" applyFont="1" applyBorder="1"/>
    <xf numFmtId="0" fontId="3" fillId="0" borderId="2" xfId="0" applyFont="1" applyBorder="1" applyAlignment="1">
      <alignment horizontal="center"/>
    </xf>
    <xf numFmtId="1" fontId="3" fillId="3" borderId="2" xfId="0" applyNumberFormat="1" applyFont="1" applyFill="1" applyBorder="1" applyAlignment="1">
      <alignment horizontal="center"/>
    </xf>
    <xf numFmtId="0" fontId="3" fillId="3" borderId="2" xfId="0" applyFont="1" applyFill="1" applyBorder="1" applyAlignment="1">
      <alignment horizontal="center"/>
    </xf>
    <xf numFmtId="0" fontId="3" fillId="0" borderId="10" xfId="0" applyFont="1" applyBorder="1"/>
    <xf numFmtId="0" fontId="3" fillId="0" borderId="8" xfId="0" applyFont="1" applyBorder="1"/>
    <xf numFmtId="164" fontId="3" fillId="0" borderId="31" xfId="0" applyNumberFormat="1" applyFont="1" applyBorder="1" applyAlignment="1">
      <alignment horizontal="center"/>
    </xf>
    <xf numFmtId="0" fontId="3" fillId="0" borderId="31" xfId="0" applyFont="1" applyBorder="1" applyAlignment="1">
      <alignment horizontal="center"/>
    </xf>
    <xf numFmtId="164" fontId="3" fillId="3" borderId="2" xfId="0" applyNumberFormat="1" applyFont="1" applyFill="1" applyBorder="1" applyAlignment="1">
      <alignment horizontal="center"/>
    </xf>
    <xf numFmtId="0" fontId="22" fillId="0" borderId="0" xfId="0" applyFont="1" applyAlignment="1">
      <alignment vertical="center" wrapText="1"/>
    </xf>
    <xf numFmtId="0" fontId="3" fillId="0" borderId="12" xfId="0" applyFont="1" applyBorder="1"/>
    <xf numFmtId="0" fontId="3" fillId="0" borderId="38" xfId="0" applyFont="1" applyBorder="1"/>
    <xf numFmtId="164" fontId="3" fillId="0" borderId="11" xfId="0" applyNumberFormat="1" applyFont="1" applyBorder="1" applyAlignment="1">
      <alignment horizontal="center"/>
    </xf>
    <xf numFmtId="0" fontId="3" fillId="0" borderId="14" xfId="0" applyFont="1" applyBorder="1" applyAlignment="1">
      <alignment horizontal="center"/>
    </xf>
    <xf numFmtId="0" fontId="3" fillId="0" borderId="11" xfId="0" applyFont="1" applyBorder="1" applyAlignment="1">
      <alignment horizontal="center"/>
    </xf>
    <xf numFmtId="0" fontId="3" fillId="0" borderId="38" xfId="0" applyFont="1" applyBorder="1" applyAlignment="1">
      <alignment horizontal="center"/>
    </xf>
    <xf numFmtId="0" fontId="23" fillId="0" borderId="0" xfId="0" applyFont="1" applyAlignment="1">
      <alignment vertical="center" wrapText="1"/>
    </xf>
    <xf numFmtId="0" fontId="24" fillId="0" borderId="0" xfId="0" applyFont="1" applyAlignment="1">
      <alignment vertical="center" wrapText="1"/>
    </xf>
    <xf numFmtId="0" fontId="3" fillId="0" borderId="31" xfId="0" applyFont="1" applyBorder="1"/>
    <xf numFmtId="0" fontId="25" fillId="0" borderId="0" xfId="0" applyFont="1"/>
    <xf numFmtId="0" fontId="2" fillId="0" borderId="26" xfId="0" applyFont="1" applyBorder="1" applyAlignment="1">
      <alignment horizontal="center"/>
    </xf>
    <xf numFmtId="0" fontId="2" fillId="0" borderId="27" xfId="0" applyFont="1" applyBorder="1" applyAlignment="1">
      <alignment horizontal="center"/>
    </xf>
    <xf numFmtId="0" fontId="2" fillId="0" borderId="5" xfId="0" applyFont="1" applyBorder="1" applyAlignment="1">
      <alignment horizontal="center"/>
    </xf>
    <xf numFmtId="0" fontId="1" fillId="0" borderId="1" xfId="0" applyFont="1" applyBorder="1" applyAlignment="1">
      <alignment horizontal="center"/>
    </xf>
    <xf numFmtId="0" fontId="2" fillId="0" borderId="6" xfId="0" applyFont="1" applyBorder="1" applyAlignment="1">
      <alignment horizontal="center"/>
    </xf>
    <xf numFmtId="164" fontId="1" fillId="0" borderId="28" xfId="0" applyNumberFormat="1" applyFont="1" applyBorder="1" applyAlignment="1">
      <alignment horizontal="center"/>
    </xf>
    <xf numFmtId="3" fontId="2" fillId="0" borderId="29" xfId="0" applyNumberFormat="1" applyFont="1" applyBorder="1" applyAlignment="1">
      <alignment horizontal="center"/>
    </xf>
    <xf numFmtId="0" fontId="1" fillId="0" borderId="0" xfId="0" applyFont="1" applyAlignment="1">
      <alignment horizontal="left"/>
    </xf>
    <xf numFmtId="3" fontId="2" fillId="0" borderId="6" xfId="0" applyNumberFormat="1" applyFont="1" applyBorder="1" applyAlignment="1">
      <alignment horizontal="center"/>
    </xf>
    <xf numFmtId="0" fontId="1" fillId="0" borderId="21" xfId="0" applyFont="1" applyBorder="1" applyAlignment="1">
      <alignment horizontal="center"/>
    </xf>
    <xf numFmtId="0" fontId="1" fillId="0" borderId="28" xfId="0" applyFont="1" applyBorder="1" applyAlignment="1">
      <alignment horizontal="center"/>
    </xf>
    <xf numFmtId="2" fontId="1" fillId="0" borderId="28" xfId="0" applyNumberFormat="1" applyFont="1" applyBorder="1" applyAlignment="1">
      <alignment horizontal="center"/>
    </xf>
    <xf numFmtId="0" fontId="6" fillId="0" borderId="1" xfId="0" applyFont="1" applyBorder="1"/>
    <xf numFmtId="0" fontId="3" fillId="0" borderId="0" xfId="0" applyFont="1" applyAlignment="1">
      <alignment horizontal="center"/>
    </xf>
    <xf numFmtId="0" fontId="6" fillId="0" borderId="6" xfId="0" applyFont="1" applyBorder="1" applyAlignment="1">
      <alignment horizontal="center"/>
    </xf>
    <xf numFmtId="164" fontId="1" fillId="0" borderId="0" xfId="0" applyNumberFormat="1" applyFont="1" applyAlignment="1">
      <alignment horizontal="center"/>
    </xf>
    <xf numFmtId="164" fontId="2" fillId="0" borderId="6" xfId="0" applyNumberFormat="1" applyFont="1" applyBorder="1" applyAlignment="1">
      <alignment horizontal="center"/>
    </xf>
    <xf numFmtId="164" fontId="2" fillId="0" borderId="29" xfId="0" applyNumberFormat="1" applyFont="1" applyBorder="1" applyAlignment="1">
      <alignment horizontal="center"/>
    </xf>
    <xf numFmtId="164" fontId="6" fillId="0" borderId="6" xfId="0" applyNumberFormat="1" applyFont="1" applyBorder="1" applyAlignment="1">
      <alignment horizontal="center"/>
    </xf>
    <xf numFmtId="0" fontId="6" fillId="0" borderId="1" xfId="0" applyFont="1" applyBorder="1" applyAlignment="1">
      <alignment horizontal="left"/>
    </xf>
    <xf numFmtId="4" fontId="16" fillId="2" borderId="0" xfId="0" applyNumberFormat="1" applyFont="1" applyFill="1" applyAlignment="1">
      <alignment horizontal="center"/>
    </xf>
    <xf numFmtId="0" fontId="3" fillId="0" borderId="21" xfId="0" applyFont="1" applyBorder="1"/>
    <xf numFmtId="1" fontId="16" fillId="2" borderId="28" xfId="0" applyNumberFormat="1" applyFont="1" applyFill="1" applyBorder="1" applyAlignment="1">
      <alignment horizontal="center"/>
    </xf>
    <xf numFmtId="164" fontId="1" fillId="0" borderId="0" xfId="0" applyNumberFormat="1" applyFont="1"/>
    <xf numFmtId="1" fontId="1" fillId="0" borderId="0" xfId="0" applyNumberFormat="1" applyFont="1" applyAlignment="1">
      <alignment horizontal="center"/>
    </xf>
    <xf numFmtId="0" fontId="1" fillId="0" borderId="6" xfId="0" applyFont="1" applyBorder="1"/>
    <xf numFmtId="0" fontId="6" fillId="0" borderId="1" xfId="0" applyFont="1" applyBorder="1" applyAlignment="1">
      <alignment horizontal="center"/>
    </xf>
    <xf numFmtId="1" fontId="3" fillId="0" borderId="0" xfId="0" applyNumberFormat="1" applyFont="1" applyAlignment="1">
      <alignment horizontal="center"/>
    </xf>
    <xf numFmtId="0" fontId="18" fillId="0" borderId="0" xfId="0" applyFont="1" applyAlignment="1">
      <alignment horizontal="center"/>
    </xf>
    <xf numFmtId="0" fontId="3" fillId="0" borderId="6" xfId="0" applyFont="1" applyBorder="1" applyAlignment="1">
      <alignment horizontal="center"/>
    </xf>
    <xf numFmtId="3" fontId="21" fillId="2" borderId="2" xfId="0" applyNumberFormat="1" applyFont="1" applyFill="1" applyBorder="1" applyAlignment="1">
      <alignment horizontal="center"/>
    </xf>
    <xf numFmtId="0" fontId="3" fillId="0" borderId="4" xfId="0" applyFont="1" applyBorder="1"/>
    <xf numFmtId="0" fontId="3" fillId="0" borderId="3" xfId="0" applyFont="1" applyBorder="1"/>
    <xf numFmtId="0" fontId="6" fillId="0" borderId="20" xfId="0" applyFont="1" applyBorder="1"/>
    <xf numFmtId="0" fontId="5" fillId="0" borderId="0" xfId="1" applyFont="1" applyAlignment="1">
      <alignment horizontal="left"/>
    </xf>
    <xf numFmtId="0" fontId="4" fillId="0" borderId="0" xfId="1" applyFont="1" applyAlignment="1">
      <alignment horizontal="left"/>
    </xf>
    <xf numFmtId="3" fontId="8" fillId="2" borderId="26" xfId="1" applyNumberFormat="1" applyFont="1" applyFill="1" applyBorder="1" applyAlignment="1">
      <alignment horizontal="right"/>
    </xf>
    <xf numFmtId="0" fontId="8" fillId="2" borderId="5" xfId="1" applyFont="1" applyFill="1" applyBorder="1"/>
    <xf numFmtId="0" fontId="15" fillId="0" borderId="7" xfId="1" applyBorder="1"/>
    <xf numFmtId="0" fontId="15" fillId="0" borderId="8" xfId="1" applyBorder="1" applyAlignment="1">
      <alignment horizontal="center"/>
    </xf>
    <xf numFmtId="3" fontId="13" fillId="3" borderId="2" xfId="1" applyNumberFormat="1" applyFont="1" applyFill="1" applyBorder="1"/>
    <xf numFmtId="0" fontId="15" fillId="0" borderId="9" xfId="1" applyBorder="1"/>
    <xf numFmtId="0" fontId="15" fillId="0" borderId="8" xfId="1" applyBorder="1"/>
    <xf numFmtId="0" fontId="13" fillId="3" borderId="2" xfId="1" applyFont="1" applyFill="1" applyBorder="1"/>
    <xf numFmtId="1" fontId="2" fillId="8" borderId="2" xfId="1" applyNumberFormat="1" applyFont="1" applyFill="1" applyBorder="1"/>
    <xf numFmtId="0" fontId="1" fillId="0" borderId="7" xfId="1" applyFont="1" applyBorder="1"/>
    <xf numFmtId="0" fontId="15" fillId="0" borderId="7" xfId="1" applyBorder="1" applyAlignment="1">
      <alignment horizontal="left"/>
    </xf>
    <xf numFmtId="0" fontId="15" fillId="0" borderId="8" xfId="1" applyBorder="1" applyAlignment="1">
      <alignment horizontal="right"/>
    </xf>
    <xf numFmtId="3" fontId="13" fillId="8" borderId="2" xfId="1" applyNumberFormat="1" applyFont="1" applyFill="1" applyBorder="1"/>
    <xf numFmtId="3" fontId="2" fillId="8" borderId="2" xfId="1" applyNumberFormat="1" applyFont="1" applyFill="1" applyBorder="1"/>
    <xf numFmtId="0" fontId="15" fillId="0" borderId="10" xfId="1" applyBorder="1"/>
    <xf numFmtId="0" fontId="1" fillId="0" borderId="2" xfId="1" applyFont="1" applyBorder="1"/>
    <xf numFmtId="0" fontId="15" fillId="0" borderId="11" xfId="1" applyBorder="1"/>
    <xf numFmtId="0" fontId="15" fillId="0" borderId="12" xfId="1" applyBorder="1"/>
    <xf numFmtId="0" fontId="15" fillId="0" borderId="13" xfId="1" applyBorder="1"/>
    <xf numFmtId="0" fontId="1" fillId="0" borderId="7" xfId="1" applyFont="1" applyBorder="1" applyAlignment="1">
      <alignment horizontal="left"/>
    </xf>
    <xf numFmtId="0" fontId="13" fillId="3" borderId="14" xfId="1" applyFont="1" applyFill="1" applyBorder="1"/>
    <xf numFmtId="0" fontId="15" fillId="0" borderId="15" xfId="1" applyBorder="1"/>
    <xf numFmtId="0" fontId="15" fillId="0" borderId="6" xfId="1" applyBorder="1"/>
    <xf numFmtId="0" fontId="1" fillId="0" borderId="16" xfId="1" applyFont="1" applyBorder="1" applyAlignment="1">
      <alignment horizontal="left"/>
    </xf>
    <xf numFmtId="0" fontId="15" fillId="0" borderId="17" xfId="1" applyBorder="1" applyAlignment="1">
      <alignment horizontal="right"/>
    </xf>
    <xf numFmtId="0" fontId="1" fillId="0" borderId="17" xfId="1" applyFont="1" applyBorder="1"/>
    <xf numFmtId="0" fontId="15" fillId="0" borderId="18" xfId="1" applyBorder="1"/>
    <xf numFmtId="0" fontId="15" fillId="0" borderId="19" xfId="1" applyBorder="1"/>
    <xf numFmtId="0" fontId="15" fillId="0" borderId="3" xfId="1" applyBorder="1"/>
    <xf numFmtId="0" fontId="15" fillId="0" borderId="20" xfId="1" applyBorder="1"/>
    <xf numFmtId="0" fontId="15" fillId="0" borderId="0" xfId="1" applyAlignment="1">
      <alignment horizontal="center"/>
    </xf>
    <xf numFmtId="0" fontId="6" fillId="0" borderId="21" xfId="1" applyFont="1" applyBorder="1" applyAlignment="1">
      <alignment horizontal="left"/>
    </xf>
    <xf numFmtId="0" fontId="6" fillId="0" borderId="22" xfId="1" applyFont="1" applyBorder="1" applyAlignment="1">
      <alignment horizontal="left"/>
    </xf>
    <xf numFmtId="0" fontId="6" fillId="0" borderId="0" xfId="1" applyFont="1" applyAlignment="1">
      <alignment horizontal="left"/>
    </xf>
    <xf numFmtId="0" fontId="15" fillId="0" borderId="23" xfId="1" applyBorder="1"/>
    <xf numFmtId="3" fontId="2" fillId="5" borderId="2" xfId="1" applyNumberFormat="1" applyFont="1" applyFill="1" applyBorder="1"/>
    <xf numFmtId="3" fontId="13" fillId="3" borderId="24" xfId="1" applyNumberFormat="1" applyFont="1" applyFill="1" applyBorder="1"/>
    <xf numFmtId="2" fontId="2" fillId="8" borderId="2" xfId="1" applyNumberFormat="1" applyFont="1" applyFill="1" applyBorder="1"/>
    <xf numFmtId="0" fontId="15" fillId="0" borderId="25" xfId="1" applyBorder="1"/>
    <xf numFmtId="0" fontId="15" fillId="0" borderId="1" xfId="1" applyBorder="1"/>
    <xf numFmtId="1" fontId="2" fillId="8" borderId="14" xfId="1" applyNumberFormat="1" applyFont="1" applyFill="1" applyBorder="1"/>
    <xf numFmtId="0" fontId="15" fillId="0" borderId="4" xfId="1" applyBorder="1"/>
    <xf numFmtId="1" fontId="2" fillId="5" borderId="18" xfId="1" applyNumberFormat="1" applyFont="1" applyFill="1" applyBorder="1"/>
    <xf numFmtId="0" fontId="8" fillId="0" borderId="1" xfId="1" applyFont="1" applyBorder="1"/>
    <xf numFmtId="0" fontId="1" fillId="0" borderId="0" xfId="1" applyFont="1" applyAlignment="1">
      <alignment horizontal="center"/>
    </xf>
    <xf numFmtId="3" fontId="2" fillId="0" borderId="0" xfId="1" applyNumberFormat="1" applyFont="1" applyAlignment="1">
      <alignment horizontal="center"/>
    </xf>
    <xf numFmtId="0" fontId="1" fillId="0" borderId="1" xfId="1" applyFont="1" applyBorder="1"/>
    <xf numFmtId="166" fontId="15" fillId="0" borderId="0" xfId="1" applyNumberFormat="1" applyAlignment="1">
      <alignment horizontal="center"/>
    </xf>
    <xf numFmtId="0" fontId="1" fillId="0" borderId="0" xfId="1" applyFont="1"/>
    <xf numFmtId="2" fontId="15" fillId="0" borderId="0" xfId="1" applyNumberFormat="1" applyAlignment="1">
      <alignment horizontal="center"/>
    </xf>
    <xf numFmtId="165" fontId="15" fillId="0" borderId="0" xfId="1" applyNumberFormat="1" applyAlignment="1">
      <alignment horizontal="center"/>
    </xf>
    <xf numFmtId="0" fontId="2" fillId="0" borderId="0" xfId="1" applyFont="1"/>
    <xf numFmtId="0" fontId="1" fillId="0" borderId="0" xfId="0" applyFont="1" applyAlignment="1">
      <alignment wrapText="1"/>
    </xf>
    <xf numFmtId="0" fontId="1" fillId="9" borderId="0" xfId="0" applyFont="1" applyFill="1" applyAlignment="1">
      <alignment wrapText="1"/>
    </xf>
    <xf numFmtId="0" fontId="1" fillId="9" borderId="0" xfId="0" applyFont="1" applyFill="1" applyAlignment="1">
      <alignment horizontal="left"/>
    </xf>
    <xf numFmtId="0" fontId="1" fillId="9" borderId="0" xfId="0" applyFont="1" applyFill="1"/>
    <xf numFmtId="0" fontId="2" fillId="9" borderId="0" xfId="0" applyFont="1" applyFill="1" applyAlignment="1">
      <alignment horizontal="left"/>
    </xf>
    <xf numFmtId="0" fontId="1" fillId="11" borderId="43" xfId="0" applyFont="1" applyFill="1" applyBorder="1"/>
    <xf numFmtId="0" fontId="1" fillId="7" borderId="0" xfId="0" applyFont="1" applyFill="1"/>
    <xf numFmtId="0" fontId="1" fillId="7" borderId="0" xfId="0" applyFont="1" applyFill="1" applyAlignment="1">
      <alignment wrapText="1"/>
    </xf>
    <xf numFmtId="0" fontId="2" fillId="0" borderId="15" xfId="0" applyFont="1" applyBorder="1" applyAlignment="1">
      <alignment horizontal="left"/>
    </xf>
    <xf numFmtId="0" fontId="2" fillId="0" borderId="32" xfId="0" applyFont="1" applyBorder="1" applyAlignment="1">
      <alignment horizontal="center"/>
    </xf>
    <xf numFmtId="0" fontId="1" fillId="0" borderId="15" xfId="0" applyFont="1" applyBorder="1" applyAlignment="1">
      <alignment horizontal="left"/>
    </xf>
    <xf numFmtId="0" fontId="30" fillId="12" borderId="24" xfId="0" applyFont="1" applyFill="1" applyBorder="1"/>
    <xf numFmtId="0" fontId="2" fillId="9" borderId="0" xfId="0" applyFont="1" applyFill="1" applyAlignment="1">
      <alignment horizontal="left" wrapText="1"/>
    </xf>
    <xf numFmtId="0" fontId="2" fillId="0" borderId="0" xfId="0" applyFont="1"/>
    <xf numFmtId="0" fontId="2" fillId="7" borderId="0" xfId="0" applyFont="1" applyFill="1"/>
    <xf numFmtId="0" fontId="30" fillId="12" borderId="2" xfId="0" applyFont="1" applyFill="1" applyBorder="1"/>
    <xf numFmtId="0" fontId="1" fillId="0" borderId="32" xfId="0" applyFont="1" applyBorder="1"/>
    <xf numFmtId="0" fontId="29" fillId="0" borderId="32" xfId="0" applyFont="1" applyBorder="1"/>
    <xf numFmtId="0" fontId="2" fillId="7" borderId="0" xfId="0" applyFont="1" applyFill="1" applyAlignment="1">
      <alignment wrapText="1"/>
    </xf>
    <xf numFmtId="0" fontId="2" fillId="9" borderId="0" xfId="0" applyFont="1" applyFill="1" applyAlignment="1">
      <alignment wrapText="1"/>
    </xf>
    <xf numFmtId="1" fontId="30" fillId="12" borderId="2" xfId="0" applyNumberFormat="1" applyFont="1" applyFill="1" applyBorder="1"/>
    <xf numFmtId="0" fontId="1" fillId="0" borderId="30" xfId="0" applyFont="1" applyBorder="1" applyAlignment="1">
      <alignment horizontal="left"/>
    </xf>
    <xf numFmtId="0" fontId="1" fillId="11" borderId="6" xfId="0" applyFont="1" applyFill="1" applyBorder="1"/>
    <xf numFmtId="0" fontId="2" fillId="0" borderId="1" xfId="0" applyFont="1" applyBorder="1" applyAlignment="1">
      <alignment horizontal="left"/>
    </xf>
    <xf numFmtId="0" fontId="1" fillId="0" borderId="1" xfId="0" applyFont="1" applyBorder="1" applyAlignment="1">
      <alignment horizontal="left"/>
    </xf>
    <xf numFmtId="0" fontId="29" fillId="0" borderId="6" xfId="0" applyFont="1" applyBorder="1"/>
    <xf numFmtId="1" fontId="30" fillId="12" borderId="14" xfId="0" applyNumberFormat="1" applyFont="1" applyFill="1" applyBorder="1"/>
    <xf numFmtId="3" fontId="30" fillId="12" borderId="47" xfId="0" applyNumberFormat="1" applyFont="1" applyFill="1" applyBorder="1"/>
    <xf numFmtId="0" fontId="1" fillId="0" borderId="4" xfId="0" applyFont="1" applyBorder="1" applyAlignment="1">
      <alignment horizontal="left"/>
    </xf>
    <xf numFmtId="1" fontId="30" fillId="12" borderId="3" xfId="0" applyNumberFormat="1" applyFont="1" applyFill="1" applyBorder="1"/>
    <xf numFmtId="0" fontId="2" fillId="0" borderId="20" xfId="0" applyFont="1" applyBorder="1" applyAlignment="1">
      <alignment horizontal="center"/>
    </xf>
    <xf numFmtId="0" fontId="0" fillId="0" borderId="28" xfId="0" applyBorder="1"/>
    <xf numFmtId="0" fontId="0" fillId="0" borderId="22" xfId="0" applyBorder="1"/>
    <xf numFmtId="0" fontId="2" fillId="11" borderId="6" xfId="0" applyFont="1" applyFill="1" applyBorder="1" applyAlignment="1">
      <alignment horizontal="left"/>
    </xf>
    <xf numFmtId="0" fontId="1" fillId="0" borderId="11" xfId="0" applyFont="1" applyBorder="1" applyAlignment="1">
      <alignment horizontal="left"/>
    </xf>
    <xf numFmtId="0" fontId="0" fillId="0" borderId="30" xfId="0" applyBorder="1" applyAlignment="1">
      <alignment horizontal="left"/>
    </xf>
    <xf numFmtId="0" fontId="31" fillId="0" borderId="15" xfId="0" applyFont="1" applyBorder="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11" borderId="1" xfId="0" applyFont="1" applyFill="1" applyBorder="1" applyAlignment="1">
      <alignment horizontal="left"/>
    </xf>
    <xf numFmtId="0" fontId="2" fillId="11" borderId="0" xfId="0" applyFont="1" applyFill="1" applyAlignment="1">
      <alignment horizontal="left"/>
    </xf>
    <xf numFmtId="0" fontId="2" fillId="11" borderId="41" xfId="0" applyFont="1" applyFill="1" applyBorder="1" applyAlignment="1">
      <alignment horizontal="left"/>
    </xf>
    <xf numFmtId="0" fontId="2" fillId="11" borderId="42" xfId="0" applyFont="1" applyFill="1" applyBorder="1" applyAlignment="1">
      <alignment horizontal="left"/>
    </xf>
    <xf numFmtId="0" fontId="2" fillId="0" borderId="15" xfId="0" applyFont="1" applyBorder="1" applyAlignment="1">
      <alignment horizontal="left"/>
    </xf>
    <xf numFmtId="0" fontId="2" fillId="0" borderId="15" xfId="0" applyFont="1" applyBorder="1" applyAlignment="1">
      <alignment horizontal="left" wrapText="1"/>
    </xf>
    <xf numFmtId="0" fontId="2" fillId="0" borderId="0" xfId="0" applyFont="1" applyAlignment="1">
      <alignment horizontal="left" wrapText="1"/>
    </xf>
    <xf numFmtId="0" fontId="2" fillId="0" borderId="32"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38" xfId="0" applyFont="1" applyBorder="1" applyAlignment="1">
      <alignment horizontal="left" wrapText="1"/>
    </xf>
    <xf numFmtId="0" fontId="3" fillId="0" borderId="0" xfId="0" applyFont="1" applyAlignment="1">
      <alignment horizontal="left" wrapText="1"/>
    </xf>
    <xf numFmtId="0" fontId="8" fillId="0" borderId="1" xfId="0" applyFont="1" applyBorder="1" applyAlignment="1">
      <alignment horizontal="left"/>
    </xf>
    <xf numFmtId="0" fontId="0" fillId="0" borderId="0" xfId="0" applyAlignment="1">
      <alignment horizontal="left"/>
    </xf>
    <xf numFmtId="0" fontId="0" fillId="0" borderId="32" xfId="0" applyBorder="1" applyAlignment="1">
      <alignment horizontal="left"/>
    </xf>
    <xf numFmtId="0" fontId="5" fillId="0" borderId="0" xfId="0" applyFont="1"/>
    <xf numFmtId="0" fontId="20" fillId="0" borderId="0" xfId="0" applyFont="1"/>
    <xf numFmtId="0" fontId="3" fillId="0" borderId="31" xfId="0"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19" fillId="3" borderId="31" xfId="0" applyFont="1" applyFill="1" applyBorder="1" applyAlignment="1">
      <alignment horizontal="left"/>
    </xf>
    <xf numFmtId="0" fontId="19" fillId="3" borderId="8" xfId="0" applyFont="1" applyFill="1" applyBorder="1" applyAlignment="1">
      <alignment horizontal="left"/>
    </xf>
    <xf numFmtId="0" fontId="19" fillId="3" borderId="10" xfId="0" applyFont="1" applyFill="1" applyBorder="1" applyAlignment="1">
      <alignment horizontal="left"/>
    </xf>
    <xf numFmtId="0" fontId="3" fillId="0" borderId="31" xfId="0" applyFont="1" applyBorder="1" applyAlignment="1">
      <alignment horizontal="left"/>
    </xf>
    <xf numFmtId="0" fontId="3" fillId="0" borderId="10" xfId="0" applyFont="1" applyBorder="1" applyAlignment="1">
      <alignment horizontal="left"/>
    </xf>
    <xf numFmtId="0" fontId="7" fillId="0" borderId="0" xfId="1" applyFont="1" applyAlignment="1">
      <alignment horizontal="left"/>
    </xf>
    <xf numFmtId="0" fontId="2" fillId="0" borderId="7" xfId="1" applyFont="1" applyBorder="1" applyAlignment="1">
      <alignment horizontal="center"/>
    </xf>
    <xf numFmtId="0" fontId="15" fillId="0" borderId="8" xfId="1" applyBorder="1" applyAlignment="1">
      <alignment horizontal="center"/>
    </xf>
    <xf numFmtId="0" fontId="15" fillId="0" borderId="33" xfId="1" applyBorder="1" applyAlignment="1">
      <alignment horizontal="center"/>
    </xf>
    <xf numFmtId="0" fontId="2" fillId="0" borderId="34" xfId="1" applyFont="1" applyBorder="1" applyAlignment="1">
      <alignment horizontal="center"/>
    </xf>
    <xf numFmtId="0" fontId="15" fillId="0" borderId="35" xfId="1" applyBorder="1" applyAlignment="1">
      <alignment horizontal="center"/>
    </xf>
    <xf numFmtId="0" fontId="15" fillId="0" borderId="36" xfId="1" applyBorder="1" applyAlignment="1">
      <alignment horizontal="center"/>
    </xf>
    <xf numFmtId="0" fontId="8" fillId="3" borderId="26" xfId="1" applyFont="1" applyFill="1" applyBorder="1" applyAlignment="1">
      <alignment horizontal="left"/>
    </xf>
    <xf numFmtId="0" fontId="8" fillId="3" borderId="27" xfId="1" applyFont="1" applyFill="1" applyBorder="1" applyAlignment="1">
      <alignment horizontal="left"/>
    </xf>
    <xf numFmtId="0" fontId="8" fillId="3" borderId="5" xfId="1" applyFont="1" applyFill="1" applyBorder="1" applyAlignment="1">
      <alignment horizontal="left"/>
    </xf>
    <xf numFmtId="0" fontId="8" fillId="0" borderId="0" xfId="1" applyFont="1" applyAlignment="1">
      <alignment horizontal="left"/>
    </xf>
    <xf numFmtId="0" fontId="9" fillId="0" borderId="0" xfId="1" applyFont="1" applyAlignment="1">
      <alignment horizontal="left"/>
    </xf>
    <xf numFmtId="0" fontId="15" fillId="0" borderId="6" xfId="1" applyBorder="1"/>
    <xf numFmtId="0" fontId="15" fillId="0" borderId="7" xfId="1" applyBorder="1" applyAlignment="1">
      <alignment horizontal="right"/>
    </xf>
    <xf numFmtId="0" fontId="15" fillId="0" borderId="8" xfId="1" applyBorder="1" applyAlignment="1">
      <alignment horizontal="right"/>
    </xf>
    <xf numFmtId="0" fontId="1" fillId="0" borderId="0" xfId="1" applyFont="1" applyAlignment="1">
      <alignment horizontal="left" vertical="justify"/>
    </xf>
    <xf numFmtId="0" fontId="15" fillId="0" borderId="0" xfId="1" applyAlignment="1">
      <alignment horizontal="left" vertical="justify"/>
    </xf>
    <xf numFmtId="0" fontId="15" fillId="0" borderId="0" xfId="1" applyAlignment="1">
      <alignment horizontal="left" vertical="top" wrapText="1"/>
    </xf>
    <xf numFmtId="0" fontId="15" fillId="0" borderId="15" xfId="1" applyBorder="1"/>
    <xf numFmtId="0" fontId="15" fillId="0" borderId="0" xfId="1"/>
    <xf numFmtId="0" fontId="15" fillId="0" borderId="32" xfId="1" applyBorder="1"/>
    <xf numFmtId="0" fontId="15" fillId="0" borderId="19" xfId="1" applyBorder="1"/>
    <xf numFmtId="0" fontId="15" fillId="0" borderId="3" xfId="1" applyBorder="1"/>
    <xf numFmtId="0" fontId="15" fillId="0" borderId="39" xfId="1" applyBorder="1"/>
    <xf numFmtId="0" fontId="15" fillId="0" borderId="0" xfId="1" applyAlignment="1">
      <alignment horizontal="left" vertical="justify" wrapText="1"/>
    </xf>
    <xf numFmtId="0" fontId="8" fillId="3" borderId="34" xfId="1" applyFont="1" applyFill="1" applyBorder="1" applyAlignment="1">
      <alignment horizontal="left"/>
    </xf>
    <xf numFmtId="0" fontId="9" fillId="3" borderId="35" xfId="1" applyFont="1" applyFill="1" applyBorder="1" applyAlignment="1">
      <alignment horizontal="left"/>
    </xf>
    <xf numFmtId="0" fontId="9" fillId="3" borderId="36" xfId="1" applyFont="1" applyFill="1" applyBorder="1" applyAlignment="1">
      <alignment horizontal="left"/>
    </xf>
    <xf numFmtId="0" fontId="1" fillId="0" borderId="16" xfId="1" applyFont="1" applyBorder="1" applyAlignment="1">
      <alignment horizontal="left"/>
    </xf>
    <xf numFmtId="0" fontId="15" fillId="0" borderId="37" xfId="1" applyBorder="1"/>
    <xf numFmtId="0" fontId="15" fillId="0" borderId="25" xfId="1" applyBorder="1" applyAlignment="1">
      <alignment horizontal="left"/>
    </xf>
    <xf numFmtId="0" fontId="15" fillId="0" borderId="38" xfId="1" applyBorder="1"/>
    <xf numFmtId="0" fontId="2" fillId="0" borderId="30" xfId="1" applyFont="1" applyBorder="1" applyAlignment="1">
      <alignment horizontal="left" wrapText="1"/>
    </xf>
    <xf numFmtId="0" fontId="15" fillId="0" borderId="28" xfId="1" applyBorder="1" applyAlignment="1">
      <alignment horizontal="left"/>
    </xf>
    <xf numFmtId="0" fontId="15" fillId="0" borderId="0" xfId="1" applyAlignment="1">
      <alignment horizontal="left"/>
    </xf>
    <xf numFmtId="0" fontId="15" fillId="0" borderId="6" xfId="1" applyBorder="1" applyAlignment="1">
      <alignment horizontal="left"/>
    </xf>
    <xf numFmtId="0" fontId="1" fillId="0" borderId="31" xfId="1" applyFont="1" applyBorder="1"/>
    <xf numFmtId="0" fontId="1" fillId="0" borderId="8" xfId="1" applyFont="1" applyBorder="1"/>
    <xf numFmtId="0" fontId="1" fillId="0" borderId="10" xfId="1" applyFont="1" applyBorder="1"/>
    <xf numFmtId="0" fontId="15" fillId="0" borderId="2" xfId="1" applyBorder="1"/>
  </cellXfs>
  <cellStyles count="2">
    <cellStyle name="Normal" xfId="0" builtinId="0"/>
    <cellStyle name="Normal_Ashby nutrient balance (725L) 160604ab" xfId="1" xr:uid="{00000000-0005-0000-0000-000001000000}"/>
  </cellStyles>
  <dxfs count="45">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0.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64"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protection locked="1" hidden="0"/>
    </dxf>
    <dxf>
      <font>
        <b val="0"/>
        <i val="0"/>
        <strike val="0"/>
        <condense val="0"/>
        <extend val="0"/>
        <outline val="0"/>
        <shadow val="0"/>
        <u val="none"/>
        <vertAlign val="baseline"/>
        <sz val="12"/>
        <color auto="1"/>
        <name val="Arial"/>
        <family val="2"/>
        <scheme val="none"/>
      </font>
      <protection locked="1" hidden="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numFmt numFmtId="164"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family val="2"/>
        <scheme val="none"/>
      </font>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'Water Balance'!$A$16</c:f>
              <c:strCache>
                <c:ptCount val="1"/>
                <c:pt idx="0">
                  <c:v>Rainfall</c:v>
                </c:pt>
              </c:strCache>
            </c:strRef>
          </c:tx>
          <c:marker>
            <c:symbol val="none"/>
          </c:marker>
          <c:cat>
            <c:strRef>
              <c:f>'Water Balance'!$E$14:$P$14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'Water Balance'!$E$16:$P$16</c:f>
              <c:numCache>
                <c:formatCode>0.0</c:formatCode>
                <c:ptCount val="12"/>
                <c:pt idx="0">
                  <c:v>117.5</c:v>
                </c:pt>
                <c:pt idx="1">
                  <c:v>116.2</c:v>
                </c:pt>
                <c:pt idx="2">
                  <c:v>134.9</c:v>
                </c:pt>
                <c:pt idx="3">
                  <c:v>134.19999999999999</c:v>
                </c:pt>
                <c:pt idx="4">
                  <c:v>157.69999999999999</c:v>
                </c:pt>
                <c:pt idx="5">
                  <c:v>173.1</c:v>
                </c:pt>
                <c:pt idx="6">
                  <c:v>141</c:v>
                </c:pt>
                <c:pt idx="7">
                  <c:v>107.7</c:v>
                </c:pt>
                <c:pt idx="8">
                  <c:v>110.7</c:v>
                </c:pt>
                <c:pt idx="9">
                  <c:v>106.1</c:v>
                </c:pt>
                <c:pt idx="10">
                  <c:v>110.3</c:v>
                </c:pt>
                <c:pt idx="11">
                  <c:v>102.4</c:v>
                </c:pt>
              </c:numCache>
            </c:numRef>
          </c:val>
          <c:smooth val="0"/>
          <c:extLst>
            <c:ext xmlns:c16="http://schemas.microsoft.com/office/drawing/2014/chart" uri="{C3380CC4-5D6E-409C-BE32-E72D297353CC}">
              <c16:uniqueId val="{00000000-1506-4C5F-9902-9929FC2F750B}"/>
            </c:ext>
          </c:extLst>
        </c:ser>
        <c:ser>
          <c:idx val="1"/>
          <c:order val="1"/>
          <c:tx>
            <c:strRef>
              <c:f>'Water Balance'!$A$17</c:f>
              <c:strCache>
                <c:ptCount val="1"/>
                <c:pt idx="0">
                  <c:v>Evaporation</c:v>
                </c:pt>
              </c:strCache>
            </c:strRef>
          </c:tx>
          <c:marker>
            <c:symbol val="none"/>
          </c:marker>
          <c:cat>
            <c:strRef>
              <c:f>'Water Balance'!$E$14:$P$14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'Water Balance'!$E$17:$P$17</c:f>
              <c:numCache>
                <c:formatCode>General</c:formatCode>
                <c:ptCount val="12"/>
                <c:pt idx="0">
                  <c:v>167.4</c:v>
                </c:pt>
                <c:pt idx="1">
                  <c:v>148.4</c:v>
                </c:pt>
                <c:pt idx="2">
                  <c:v>151.9</c:v>
                </c:pt>
                <c:pt idx="3">
                  <c:v>120</c:v>
                </c:pt>
                <c:pt idx="4">
                  <c:v>102.3</c:v>
                </c:pt>
                <c:pt idx="5">
                  <c:v>90</c:v>
                </c:pt>
                <c:pt idx="6">
                  <c:v>93</c:v>
                </c:pt>
                <c:pt idx="7">
                  <c:v>105.39999999999999</c:v>
                </c:pt>
                <c:pt idx="8">
                  <c:v>117</c:v>
                </c:pt>
                <c:pt idx="9">
                  <c:v>139.5</c:v>
                </c:pt>
                <c:pt idx="10">
                  <c:v>153</c:v>
                </c:pt>
                <c:pt idx="11">
                  <c:v>170.5</c:v>
                </c:pt>
              </c:numCache>
            </c:numRef>
          </c:val>
          <c:smooth val="0"/>
          <c:extLst>
            <c:ext xmlns:c16="http://schemas.microsoft.com/office/drawing/2014/chart" uri="{C3380CC4-5D6E-409C-BE32-E72D297353CC}">
              <c16:uniqueId val="{00000001-1506-4C5F-9902-9929FC2F750B}"/>
            </c:ext>
          </c:extLst>
        </c:ser>
        <c:dLbls>
          <c:showLegendKey val="0"/>
          <c:showVal val="0"/>
          <c:showCatName val="0"/>
          <c:showSerName val="0"/>
          <c:showPercent val="0"/>
          <c:showBubbleSize val="0"/>
        </c:dLbls>
        <c:smooth val="0"/>
        <c:axId val="203892792"/>
        <c:axId val="204884344"/>
      </c:lineChart>
      <c:catAx>
        <c:axId val="203892792"/>
        <c:scaling>
          <c:orientation val="minMax"/>
        </c:scaling>
        <c:delete val="0"/>
        <c:axPos val="b"/>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en-US"/>
          </a:p>
        </c:txPr>
        <c:crossAx val="204884344"/>
        <c:crosses val="autoZero"/>
        <c:auto val="1"/>
        <c:lblAlgn val="ctr"/>
        <c:lblOffset val="100"/>
        <c:noMultiLvlLbl val="0"/>
      </c:catAx>
      <c:valAx>
        <c:axId val="204884344"/>
        <c:scaling>
          <c:orientation val="minMax"/>
        </c:scaling>
        <c:delete val="0"/>
        <c:axPos val="l"/>
        <c:majorGridlines/>
        <c:numFmt formatCode="0.0"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en-US"/>
          </a:p>
        </c:txPr>
        <c:crossAx val="203892792"/>
        <c:crosses val="autoZero"/>
        <c:crossBetween val="between"/>
      </c:valAx>
    </c:plotArea>
    <c:legend>
      <c:legendPos val="r"/>
      <c:layout>
        <c:manualLayout>
          <c:xMode val="edge"/>
          <c:yMode val="edge"/>
          <c:x val="0.76652979327997406"/>
          <c:y val="0.41258814676137506"/>
          <c:w val="0.21694236567536573"/>
          <c:h val="0.16783216783216828"/>
        </c:manualLayout>
      </c:layout>
      <c:overlay val="0"/>
      <c:txPr>
        <a:bodyPr/>
        <a:lstStyle/>
        <a:p>
          <a:pPr>
            <a:defRPr lang="en-US"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bom.gov.au/climate/averages/climatology/raindays/IDCJCM0003_daysofrain.shtml"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28574</xdr:colOff>
      <xdr:row>12</xdr:row>
      <xdr:rowOff>200026</xdr:rowOff>
    </xdr:from>
    <xdr:to>
      <xdr:col>25</xdr:col>
      <xdr:colOff>0</xdr:colOff>
      <xdr:row>27</xdr:row>
      <xdr:rowOff>163285</xdr:rowOff>
    </xdr:to>
    <xdr:graphicFrame macro="">
      <xdr:nvGraphicFramePr>
        <xdr:cNvPr id="19891" name="Chart 1">
          <a:extLst>
            <a:ext uri="{FF2B5EF4-FFF2-40B4-BE49-F238E27FC236}">
              <a16:creationId xmlns:a16="http://schemas.microsoft.com/office/drawing/2014/main" id="{00000000-0008-0000-0000-0000B34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0</xdr:colOff>
      <xdr:row>37</xdr:row>
      <xdr:rowOff>0</xdr:rowOff>
    </xdr:from>
    <xdr:to>
      <xdr:col>20</xdr:col>
      <xdr:colOff>180975</xdr:colOff>
      <xdr:row>37</xdr:row>
      <xdr:rowOff>161925</xdr:rowOff>
    </xdr:to>
    <xdr:pic>
      <xdr:nvPicPr>
        <xdr:cNvPr id="19895" name="Picture 17" descr="Climatology Map">
          <a:hlinkClick xmlns:r="http://schemas.openxmlformats.org/officeDocument/2006/relationships" r:id="rId2"/>
          <a:extLst>
            <a:ext uri="{FF2B5EF4-FFF2-40B4-BE49-F238E27FC236}">
              <a16:creationId xmlns:a16="http://schemas.microsoft.com/office/drawing/2014/main" id="{00000000-0008-0000-0000-0000B74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16275" y="8801100"/>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180975</xdr:colOff>
      <xdr:row>37</xdr:row>
      <xdr:rowOff>161925</xdr:rowOff>
    </xdr:to>
    <xdr:pic>
      <xdr:nvPicPr>
        <xdr:cNvPr id="19897" name="Picture 19" descr="Climatology Map">
          <a:hlinkClick xmlns:r="http://schemas.openxmlformats.org/officeDocument/2006/relationships" r:id="rId2"/>
          <a:extLst>
            <a:ext uri="{FF2B5EF4-FFF2-40B4-BE49-F238E27FC236}">
              <a16:creationId xmlns:a16="http://schemas.microsoft.com/office/drawing/2014/main" id="{00000000-0008-0000-0000-0000B94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16275" y="9258300"/>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27</xdr:row>
      <xdr:rowOff>85725</xdr:rowOff>
    </xdr:from>
    <xdr:to>
      <xdr:col>4</xdr:col>
      <xdr:colOff>0</xdr:colOff>
      <xdr:row>27</xdr:row>
      <xdr:rowOff>85725</xdr:rowOff>
    </xdr:to>
    <xdr:sp macro="" textlink="">
      <xdr:nvSpPr>
        <xdr:cNvPr id="11710" name="Line 1">
          <a:extLst>
            <a:ext uri="{FF2B5EF4-FFF2-40B4-BE49-F238E27FC236}">
              <a16:creationId xmlns:a16="http://schemas.microsoft.com/office/drawing/2014/main" id="{00000000-0008-0000-0100-0000BE2D0000}"/>
            </a:ext>
          </a:extLst>
        </xdr:cNvPr>
        <xdr:cNvSpPr>
          <a:spLocks noChangeShapeType="1"/>
        </xdr:cNvSpPr>
      </xdr:nvSpPr>
      <xdr:spPr bwMode="auto">
        <a:xfrm>
          <a:off x="3952875" y="6153150"/>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85725</xdr:rowOff>
    </xdr:from>
    <xdr:to>
      <xdr:col>4</xdr:col>
      <xdr:colOff>0</xdr:colOff>
      <xdr:row>26</xdr:row>
      <xdr:rowOff>85725</xdr:rowOff>
    </xdr:to>
    <xdr:sp macro="" textlink="">
      <xdr:nvSpPr>
        <xdr:cNvPr id="11711" name="Line 2">
          <a:extLst>
            <a:ext uri="{FF2B5EF4-FFF2-40B4-BE49-F238E27FC236}">
              <a16:creationId xmlns:a16="http://schemas.microsoft.com/office/drawing/2014/main" id="{00000000-0008-0000-0100-0000BF2D0000}"/>
            </a:ext>
          </a:extLst>
        </xdr:cNvPr>
        <xdr:cNvSpPr>
          <a:spLocks noChangeShapeType="1"/>
        </xdr:cNvSpPr>
      </xdr:nvSpPr>
      <xdr:spPr bwMode="auto">
        <a:xfrm>
          <a:off x="3952875" y="5991225"/>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29</xdr:row>
      <xdr:rowOff>85725</xdr:rowOff>
    </xdr:from>
    <xdr:to>
      <xdr:col>4</xdr:col>
      <xdr:colOff>0</xdr:colOff>
      <xdr:row>29</xdr:row>
      <xdr:rowOff>85725</xdr:rowOff>
    </xdr:to>
    <xdr:sp macro="" textlink="">
      <xdr:nvSpPr>
        <xdr:cNvPr id="11712" name="Line 3">
          <a:extLst>
            <a:ext uri="{FF2B5EF4-FFF2-40B4-BE49-F238E27FC236}">
              <a16:creationId xmlns:a16="http://schemas.microsoft.com/office/drawing/2014/main" id="{00000000-0008-0000-0100-0000C02D0000}"/>
            </a:ext>
          </a:extLst>
        </xdr:cNvPr>
        <xdr:cNvSpPr>
          <a:spLocks noChangeShapeType="1"/>
        </xdr:cNvSpPr>
      </xdr:nvSpPr>
      <xdr:spPr bwMode="auto">
        <a:xfrm>
          <a:off x="3952875" y="6515100"/>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30</xdr:row>
      <xdr:rowOff>85725</xdr:rowOff>
    </xdr:from>
    <xdr:to>
      <xdr:col>4</xdr:col>
      <xdr:colOff>0</xdr:colOff>
      <xdr:row>30</xdr:row>
      <xdr:rowOff>85725</xdr:rowOff>
    </xdr:to>
    <xdr:sp macro="" textlink="">
      <xdr:nvSpPr>
        <xdr:cNvPr id="11713" name="Line 4">
          <a:extLst>
            <a:ext uri="{FF2B5EF4-FFF2-40B4-BE49-F238E27FC236}">
              <a16:creationId xmlns:a16="http://schemas.microsoft.com/office/drawing/2014/main" id="{00000000-0008-0000-0100-0000C12D0000}"/>
            </a:ext>
          </a:extLst>
        </xdr:cNvPr>
        <xdr:cNvSpPr>
          <a:spLocks noChangeShapeType="1"/>
        </xdr:cNvSpPr>
      </xdr:nvSpPr>
      <xdr:spPr bwMode="auto">
        <a:xfrm>
          <a:off x="3952875" y="6696075"/>
          <a:ext cx="790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18F2BC-5C87-4648-A70C-33D28BFB3883}" name="SoilType" displayName="SoilType" ref="S4:AA7" totalsRowShown="0" headerRowDxfId="44" dataDxfId="42" headerRowBorderDxfId="43" tableBorderDxfId="41" totalsRowBorderDxfId="40">
  <autoFilter ref="S4:AA7" xr:uid="{E718F2BC-5C87-4648-A70C-33D28BFB3883}"/>
  <tableColumns count="9">
    <tableColumn id="1" xr3:uid="{8769320A-F08B-4A7F-A91D-7115846A6ECF}" name="LHI Soils" dataDxfId="39"/>
    <tableColumn id="2" xr3:uid="{03CB2439-1626-4C0B-B666-A1A8C5AF8E4E}" name="Column1" dataDxfId="38"/>
    <tableColumn id="3" xr3:uid="{08515862-2F0B-4D03-888E-D74DB946A094}" name="Daily DPR " dataDxfId="37"/>
    <tableColumn id="4" xr3:uid="{3BA30E5B-C29F-46A7-B7BC-DAE4B66C57A5}" name="units" dataDxfId="36"/>
    <tableColumn id="5" xr3:uid="{4A8252EA-45FD-40B8-9EBB-C0F70C33FB43}" name="Effective rainfall" dataDxfId="35"/>
    <tableColumn id="6" xr3:uid="{DC35E84C-2302-4097-AE3E-00B753C49B2F}" name="Column2" dataDxfId="34"/>
    <tableColumn id="7" xr3:uid="{859AD156-6C06-451A-BC5B-9B8BEA5322F1}" name="units3" dataDxfId="33"/>
    <tableColumn id="8" xr3:uid="{A6D61349-E9CA-4C27-BA11-2DFDAEE7BFE8}" name="Bulk denisity" dataDxfId="32"/>
    <tableColumn id="9" xr3:uid="{D511036F-A55B-4EC8-9721-611923D00CCB}" name="Phospurus sorpion" dataDxfId="3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9A4F01-D68A-4420-A44B-8FB2C22BC6A0}" name="Veg" displayName="Veg" ref="M17:R21" totalsRowShown="0" headerRowDxfId="30" dataDxfId="28" headerRowBorderDxfId="29" tableBorderDxfId="27" totalsRowBorderDxfId="26" headerRowCellStyle="Normal_Ashby nutrient balance (725L) 160604ab">
  <autoFilter ref="M17:R21" xr:uid="{319A4F01-D68A-4420-A44B-8FB2C22BC6A0}"/>
  <tableColumns count="6">
    <tableColumn id="1" xr3:uid="{1263B28D-FDEB-44DE-901B-D121421AE0F2}" name="Vegetation type" dataDxfId="25" dataCellStyle="Normal_Ashby nutrient balance (725L) 160604ab"/>
    <tableColumn id="2" xr3:uid="{E5DAE5B3-0B65-4E7A-BD81-DD29EB60B6B0}" name="Column1" dataDxfId="24" dataCellStyle="Normal_Ashby nutrient balance (725L) 160604ab"/>
    <tableColumn id="3" xr3:uid="{388A872E-6BD2-4B91-AFCD-DBD2DC6048AB}" name="Column2" dataDxfId="23" dataCellStyle="Normal_Ashby nutrient balance (725L) 160604ab"/>
    <tableColumn id="4" xr3:uid="{39DD7343-7BAE-497E-A1A5-BAE436C0C310}" name="Nitrogen" dataDxfId="22" dataCellStyle="Normal_Ashby nutrient balance (725L) 160604ab"/>
    <tableColumn id="5" xr3:uid="{69E28098-F371-4391-81F3-66309C46BFC5}" name="Phosphorus" dataDxfId="21" dataCellStyle="Normal_Ashby nutrient balance (725L) 160604ab"/>
    <tableColumn id="6" xr3:uid="{0E8C42CA-2F10-45FE-B16E-6C2AA554A6E0}" name="units" dataDxfId="20" dataCellStyle="Normal_Ashby nutrient balance (725L) 160604ab"/>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E78CA0-A5AE-45B2-BC9D-34F73B0E81C7}" name="Table4" displayName="Table4" ref="M26:Q29" totalsRowShown="0" headerRowDxfId="19" dataDxfId="17" headerRowBorderDxfId="18" tableBorderDxfId="16" totalsRowBorderDxfId="15">
  <autoFilter ref="M26:Q29" xr:uid="{4AE78CA0-A5AE-45B2-BC9D-34F73B0E81C7}"/>
  <tableColumns count="5">
    <tableColumn id="1" xr3:uid="{5600F404-9EB8-420C-82B6-DB41AF280AB0}" name="LHI Soils" dataDxfId="14"/>
    <tableColumn id="2" xr3:uid="{F3881748-E0F5-4F2F-B59B-C6EECD67AFE7}" name="Column1" dataDxfId="13"/>
    <tableColumn id="3" xr3:uid="{98904251-029E-4EB1-B878-B93AB9947426}" name="P-sorption" dataDxfId="12"/>
    <tableColumn id="4" xr3:uid="{E6BFBF87-754A-4363-8163-560A827267E4}" name="Column2" dataDxfId="11"/>
    <tableColumn id="5" xr3:uid="{CCB38AB8-E58E-47C0-A20D-D682471B3366}" name="units" dataDxfId="1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BC42E5-D6E7-4B94-B046-71466D387141}" name="Table5" displayName="Table5" ref="M33:Q36" totalsRowShown="0" headerRowDxfId="9" dataDxfId="7" headerRowBorderDxfId="8" tableBorderDxfId="6" totalsRowBorderDxfId="5">
  <autoFilter ref="M33:Q36" xr:uid="{A0BC42E5-D6E7-4B94-B046-71466D387141}"/>
  <tableColumns count="5">
    <tableColumn id="1" xr3:uid="{9086359C-E1BF-4437-A9ED-44CC0A3B7D2F}" name="LHI Soils" dataDxfId="4"/>
    <tableColumn id="2" xr3:uid="{6E4FE87A-74F4-4AED-8BCF-F03CEFE4ED95}" name="Column1" dataDxfId="3"/>
    <tableColumn id="3" xr3:uid="{1ED6FD6B-448A-4218-961D-2F636D223AED}" name="Bulk Density" dataDxfId="2"/>
    <tableColumn id="4" xr3:uid="{E0BD610B-53BF-4181-A28A-444A95BB3758}" name="Column2" dataDxfId="1"/>
    <tableColumn id="5" xr3:uid="{E48B4A2C-B0C8-4D83-92CF-70F6236CF776}" name="unit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9D5F-59E2-4E61-9F32-BDFBD316E3CB}">
  <dimension ref="A1:I40"/>
  <sheetViews>
    <sheetView tabSelected="1" zoomScale="85" zoomScaleNormal="85" workbookViewId="0">
      <selection activeCell="H1" sqref="H1"/>
    </sheetView>
  </sheetViews>
  <sheetFormatPr defaultRowHeight="15.75" x14ac:dyDescent="0.25"/>
  <cols>
    <col min="1" max="1" width="3.875" customWidth="1"/>
    <col min="2" max="2" width="88.375" style="8" customWidth="1"/>
    <col min="3" max="3" width="0.25" style="8" customWidth="1"/>
    <col min="4" max="4" width="3.125" style="9" customWidth="1"/>
    <col min="5" max="5" width="26.75" customWidth="1"/>
    <col min="6" max="6" width="20" customWidth="1"/>
    <col min="7" max="7" width="10.5" customWidth="1"/>
    <col min="8" max="8" width="13.625" customWidth="1"/>
    <col min="9" max="9" width="13.75" customWidth="1"/>
  </cols>
  <sheetData>
    <row r="1" spans="1:9" ht="16.5" thickBot="1" x14ac:dyDescent="0.3">
      <c r="A1" s="3"/>
      <c r="B1" s="169"/>
      <c r="C1" s="170"/>
      <c r="D1" s="171"/>
      <c r="E1" s="172"/>
      <c r="F1" s="172"/>
    </row>
    <row r="2" spans="1:9" x14ac:dyDescent="0.25">
      <c r="A2" s="209" t="s">
        <v>214</v>
      </c>
      <c r="B2" s="209"/>
      <c r="C2" s="173"/>
      <c r="D2" s="210" t="s">
        <v>204</v>
      </c>
      <c r="E2" s="211"/>
      <c r="F2" s="174"/>
    </row>
    <row r="3" spans="1:9" ht="27" customHeight="1" thickBot="1" x14ac:dyDescent="0.3">
      <c r="A3" s="175"/>
      <c r="B3" s="176" t="s">
        <v>215</v>
      </c>
      <c r="C3" s="170"/>
      <c r="D3" s="216" t="s">
        <v>228</v>
      </c>
      <c r="E3" s="217"/>
      <c r="F3" s="218"/>
    </row>
    <row r="4" spans="1:9" ht="28.5" customHeight="1" thickBot="1" x14ac:dyDescent="0.3">
      <c r="A4" s="175"/>
      <c r="B4" s="176" t="s">
        <v>234</v>
      </c>
      <c r="C4" s="170"/>
      <c r="D4" s="177">
        <v>1</v>
      </c>
      <c r="E4" s="12">
        <v>0</v>
      </c>
      <c r="F4" s="178" t="s">
        <v>197</v>
      </c>
    </row>
    <row r="5" spans="1:9" ht="26.25" x14ac:dyDescent="0.25">
      <c r="A5" s="175"/>
      <c r="B5" s="176" t="s">
        <v>235</v>
      </c>
      <c r="C5" s="170"/>
      <c r="D5" s="179"/>
      <c r="E5" s="180">
        <f>'Water Balance'!P7</f>
        <v>0</v>
      </c>
      <c r="F5" s="178" t="s">
        <v>218</v>
      </c>
    </row>
    <row r="6" spans="1:9" ht="30" customHeight="1" thickBot="1" x14ac:dyDescent="0.3">
      <c r="A6" s="209" t="s">
        <v>213</v>
      </c>
      <c r="B6" s="209"/>
      <c r="C6" s="181"/>
      <c r="D6" s="213" t="s">
        <v>236</v>
      </c>
      <c r="E6" s="214"/>
      <c r="F6" s="215"/>
    </row>
    <row r="7" spans="1:9" ht="16.5" thickBot="1" x14ac:dyDescent="0.3">
      <c r="A7" s="182" t="s">
        <v>220</v>
      </c>
      <c r="B7" s="169"/>
      <c r="C7" s="170"/>
      <c r="D7" s="177">
        <v>2</v>
      </c>
      <c r="E7" s="12">
        <v>0</v>
      </c>
      <c r="F7" s="178" t="s">
        <v>219</v>
      </c>
    </row>
    <row r="8" spans="1:9" x14ac:dyDescent="0.25">
      <c r="A8" s="183">
        <v>1</v>
      </c>
      <c r="B8" s="176" t="s">
        <v>221</v>
      </c>
      <c r="C8" s="170"/>
      <c r="D8" s="179"/>
      <c r="E8" s="180">
        <f>Sheet2!A3</f>
        <v>0</v>
      </c>
      <c r="F8" s="178" t="s">
        <v>217</v>
      </c>
    </row>
    <row r="9" spans="1:9" ht="29.25" customHeight="1" thickBot="1" x14ac:dyDescent="0.3">
      <c r="A9" s="183">
        <v>2</v>
      </c>
      <c r="B9" s="176" t="s">
        <v>222</v>
      </c>
      <c r="C9" s="170"/>
      <c r="D9" s="213" t="s">
        <v>237</v>
      </c>
      <c r="E9" s="214"/>
      <c r="F9" s="215"/>
    </row>
    <row r="10" spans="1:9" ht="39.75" thickBot="1" x14ac:dyDescent="0.3">
      <c r="A10" s="183">
        <v>3</v>
      </c>
      <c r="B10" s="176" t="s">
        <v>238</v>
      </c>
      <c r="C10" s="170"/>
      <c r="D10" s="177">
        <v>3</v>
      </c>
      <c r="E10" s="12"/>
      <c r="F10" s="178" t="s">
        <v>217</v>
      </c>
    </row>
    <row r="11" spans="1:9" x14ac:dyDescent="0.25">
      <c r="A11" s="183">
        <v>4</v>
      </c>
      <c r="B11" s="176" t="s">
        <v>223</v>
      </c>
      <c r="C11" s="170"/>
      <c r="D11" s="212" t="s">
        <v>229</v>
      </c>
      <c r="E11" s="207"/>
      <c r="F11" s="178"/>
    </row>
    <row r="12" spans="1:9" x14ac:dyDescent="0.25">
      <c r="A12" s="183">
        <v>5</v>
      </c>
      <c r="B12" s="176" t="s">
        <v>224</v>
      </c>
      <c r="C12" s="170"/>
      <c r="D12" s="179"/>
      <c r="E12" s="184">
        <f>SUM(E10,E8,E5)</f>
        <v>0</v>
      </c>
      <c r="F12" s="178" t="s">
        <v>217</v>
      </c>
    </row>
    <row r="13" spans="1:9" x14ac:dyDescent="0.25">
      <c r="A13" s="183">
        <v>6</v>
      </c>
      <c r="B13" s="176" t="s">
        <v>225</v>
      </c>
      <c r="C13" s="170"/>
      <c r="D13" s="179"/>
      <c r="E13" s="3"/>
      <c r="F13" s="185"/>
    </row>
    <row r="14" spans="1:9" x14ac:dyDescent="0.25">
      <c r="A14" s="183">
        <v>7</v>
      </c>
      <c r="B14" s="176" t="s">
        <v>239</v>
      </c>
      <c r="C14" s="170"/>
      <c r="D14" s="179"/>
      <c r="E14" s="3"/>
      <c r="F14" s="185"/>
    </row>
    <row r="15" spans="1:9" ht="16.5" thickBot="1" x14ac:dyDescent="0.3">
      <c r="A15" s="183">
        <v>8</v>
      </c>
      <c r="B15" s="176" t="s">
        <v>226</v>
      </c>
      <c r="C15" s="170"/>
      <c r="D15" s="212" t="s">
        <v>230</v>
      </c>
      <c r="E15" s="207"/>
      <c r="F15" s="186" t="s">
        <v>210</v>
      </c>
      <c r="G15" s="10" t="s">
        <v>211</v>
      </c>
      <c r="H15" s="10" t="s">
        <v>79</v>
      </c>
      <c r="I15" s="11" t="s">
        <v>76</v>
      </c>
    </row>
    <row r="16" spans="1:9" ht="27" thickBot="1" x14ac:dyDescent="0.3">
      <c r="A16" s="183">
        <v>9</v>
      </c>
      <c r="B16" s="176" t="s">
        <v>227</v>
      </c>
      <c r="C16" s="170"/>
      <c r="D16" s="177">
        <v>4</v>
      </c>
      <c r="E16" s="12"/>
      <c r="F16" s="186" t="e">
        <f>VLOOKUP(E16, SoilType[], 3, 0)</f>
        <v>#N/A</v>
      </c>
      <c r="G16" s="10" t="e">
        <f>VLOOKUP(E16, SoilType[], 5, 0)</f>
        <v>#N/A</v>
      </c>
      <c r="H16" s="10" t="e">
        <f>VLOOKUP(E16, SoilType[],8,0)</f>
        <v>#N/A</v>
      </c>
      <c r="I16" s="10" t="e">
        <f>VLOOKUP(E16, SoilType[], 9,0)</f>
        <v>#N/A</v>
      </c>
    </row>
    <row r="17" spans="1:8" x14ac:dyDescent="0.25">
      <c r="A17" s="183">
        <v>10</v>
      </c>
      <c r="B17" s="176" t="s">
        <v>233</v>
      </c>
      <c r="C17" s="170"/>
      <c r="D17" s="179"/>
      <c r="E17" s="3"/>
      <c r="F17" s="185"/>
    </row>
    <row r="18" spans="1:8" ht="26.25" x14ac:dyDescent="0.25">
      <c r="A18" s="175"/>
      <c r="B18" s="187" t="s">
        <v>240</v>
      </c>
      <c r="C18" s="188"/>
      <c r="D18" s="212" t="s">
        <v>231</v>
      </c>
      <c r="E18" s="207"/>
      <c r="F18" s="185"/>
    </row>
    <row r="19" spans="1:8" x14ac:dyDescent="0.25">
      <c r="A19" s="175"/>
      <c r="B19" s="176"/>
      <c r="C19" s="170"/>
      <c r="D19" s="179"/>
      <c r="E19" s="189" t="e">
        <f>'Water Balance'!J34</f>
        <v>#N/A</v>
      </c>
      <c r="F19" s="178" t="s">
        <v>216</v>
      </c>
    </row>
    <row r="20" spans="1:8" x14ac:dyDescent="0.25">
      <c r="A20" s="175"/>
      <c r="B20" s="176"/>
      <c r="C20" s="170"/>
      <c r="D20" s="190"/>
      <c r="E20" s="32"/>
      <c r="F20" s="33"/>
    </row>
    <row r="21" spans="1:8" x14ac:dyDescent="0.25">
      <c r="A21" s="175"/>
      <c r="B21" s="176"/>
      <c r="C21" s="170"/>
      <c r="D21" s="208" t="s">
        <v>117</v>
      </c>
      <c r="E21" s="209"/>
      <c r="F21" s="191"/>
    </row>
    <row r="22" spans="1:8" ht="16.5" thickBot="1" x14ac:dyDescent="0.3">
      <c r="A22" s="175"/>
      <c r="B22" s="176"/>
      <c r="C22" s="170"/>
      <c r="D22" s="206" t="s">
        <v>170</v>
      </c>
      <c r="E22" s="207"/>
      <c r="F22" s="106"/>
    </row>
    <row r="23" spans="1:8" ht="16.5" thickBot="1" x14ac:dyDescent="0.3">
      <c r="A23" s="175"/>
      <c r="B23" s="176"/>
      <c r="C23" s="170"/>
      <c r="D23" s="192">
        <v>5</v>
      </c>
      <c r="E23" s="12"/>
      <c r="F23" s="106"/>
    </row>
    <row r="24" spans="1:8" ht="16.5" thickBot="1" x14ac:dyDescent="0.3">
      <c r="A24" s="175"/>
      <c r="B24" s="176"/>
      <c r="C24" s="170"/>
      <c r="D24" s="206" t="s">
        <v>205</v>
      </c>
      <c r="E24" s="207"/>
      <c r="F24" s="106"/>
    </row>
    <row r="25" spans="1:8" x14ac:dyDescent="0.25">
      <c r="A25" s="175"/>
      <c r="B25" s="176"/>
      <c r="C25" s="170"/>
      <c r="D25" s="192">
        <v>6</v>
      </c>
      <c r="E25" s="13"/>
      <c r="F25" s="85" t="s">
        <v>71</v>
      </c>
    </row>
    <row r="26" spans="1:8" x14ac:dyDescent="0.25">
      <c r="A26" s="175"/>
      <c r="B26" s="176"/>
      <c r="C26" s="170"/>
      <c r="D26" s="192">
        <v>7</v>
      </c>
      <c r="E26" s="14"/>
      <c r="F26" s="85" t="s">
        <v>80</v>
      </c>
    </row>
    <row r="27" spans="1:8" ht="16.5" thickBot="1" x14ac:dyDescent="0.3">
      <c r="A27" s="175"/>
      <c r="B27" s="176"/>
      <c r="C27" s="170"/>
      <c r="D27" s="192">
        <v>8</v>
      </c>
      <c r="E27" s="15"/>
      <c r="F27" s="85" t="s">
        <v>83</v>
      </c>
    </row>
    <row r="28" spans="1:8" x14ac:dyDescent="0.25">
      <c r="A28" s="175"/>
      <c r="B28" s="176"/>
      <c r="C28" s="170"/>
      <c r="D28" s="193"/>
      <c r="E28" s="3"/>
      <c r="F28" s="106"/>
    </row>
    <row r="29" spans="1:8" ht="16.5" thickBot="1" x14ac:dyDescent="0.3">
      <c r="A29" s="175"/>
      <c r="B29" s="176"/>
      <c r="C29" s="170"/>
      <c r="D29" s="206" t="s">
        <v>206</v>
      </c>
      <c r="E29" s="207"/>
      <c r="F29" s="106"/>
    </row>
    <row r="30" spans="1:8" ht="16.5" thickBot="1" x14ac:dyDescent="0.3">
      <c r="A30" s="175"/>
      <c r="B30" s="176"/>
      <c r="C30" s="170"/>
      <c r="D30" s="192">
        <v>9</v>
      </c>
      <c r="E30" s="12"/>
      <c r="F30" s="194" t="e">
        <f>VLOOKUP(E30, Veg[], 4, 0)</f>
        <v>#N/A</v>
      </c>
      <c r="G30" s="10" t="e">
        <f>VLOOKUP(E30, Veg[], 5,0)</f>
        <v>#N/A</v>
      </c>
      <c r="H30" s="10"/>
    </row>
    <row r="31" spans="1:8" x14ac:dyDescent="0.25">
      <c r="A31" s="175"/>
      <c r="B31" s="176"/>
      <c r="C31" s="170"/>
      <c r="D31" s="193"/>
      <c r="E31" s="3"/>
      <c r="F31" s="106"/>
    </row>
    <row r="32" spans="1:8" x14ac:dyDescent="0.25">
      <c r="A32" s="175"/>
      <c r="B32" s="176"/>
      <c r="C32" s="170"/>
      <c r="D32" s="206" t="s">
        <v>209</v>
      </c>
      <c r="E32" s="207"/>
      <c r="F32" s="106"/>
    </row>
    <row r="33" spans="1:6" x14ac:dyDescent="0.25">
      <c r="A33" s="175"/>
      <c r="B33" s="176"/>
      <c r="C33" s="170"/>
      <c r="D33" s="193"/>
      <c r="E33" s="195" t="e">
        <f>E19</f>
        <v>#N/A</v>
      </c>
      <c r="F33" s="85" t="s">
        <v>204</v>
      </c>
    </row>
    <row r="34" spans="1:6" x14ac:dyDescent="0.25">
      <c r="A34" s="175"/>
      <c r="B34" s="176"/>
      <c r="C34" s="170"/>
      <c r="D34" s="193"/>
      <c r="E34" s="196" t="e">
        <f>'Nutrient Balance'!B18</f>
        <v>#N/A</v>
      </c>
      <c r="F34" s="85" t="s">
        <v>88</v>
      </c>
    </row>
    <row r="35" spans="1:6" x14ac:dyDescent="0.25">
      <c r="A35" s="175"/>
      <c r="B35" s="176"/>
      <c r="C35" s="170"/>
      <c r="D35" s="193"/>
      <c r="E35" s="196" t="e">
        <f>'Nutrient Balance'!B19</f>
        <v>#N/A</v>
      </c>
      <c r="F35" s="85" t="s">
        <v>91</v>
      </c>
    </row>
    <row r="36" spans="1:6" ht="16.5" thickBot="1" x14ac:dyDescent="0.3">
      <c r="A36" s="175"/>
      <c r="B36" s="176"/>
      <c r="C36" s="170"/>
      <c r="D36" s="203"/>
      <c r="E36" s="41"/>
      <c r="F36" s="42"/>
    </row>
    <row r="37" spans="1:6" ht="16.5" thickBot="1" x14ac:dyDescent="0.3">
      <c r="A37" s="175"/>
      <c r="B37" s="176"/>
      <c r="C37" s="170"/>
      <c r="D37" s="205">
        <v>10</v>
      </c>
      <c r="E37" s="12"/>
      <c r="F37" s="178" t="s">
        <v>232</v>
      </c>
    </row>
    <row r="38" spans="1:6" x14ac:dyDescent="0.25">
      <c r="A38" s="175"/>
      <c r="B38" s="176"/>
      <c r="C38" s="170"/>
      <c r="D38" s="204"/>
      <c r="E38" s="200"/>
      <c r="F38" s="201"/>
    </row>
    <row r="39" spans="1:6" x14ac:dyDescent="0.25">
      <c r="C39" s="9"/>
      <c r="D39" s="208" t="s">
        <v>212</v>
      </c>
      <c r="E39" s="209"/>
      <c r="F39" s="202"/>
    </row>
    <row r="40" spans="1:6" ht="16.5" thickBot="1" x14ac:dyDescent="0.3">
      <c r="D40" s="197"/>
      <c r="E40" s="198" t="e">
        <f>MAX(E33:E35)</f>
        <v>#N/A</v>
      </c>
      <c r="F40" s="199" t="s">
        <v>216</v>
      </c>
    </row>
  </sheetData>
  <protectedRanges>
    <protectedRange algorithmName="SHA-512" hashValue="qZDkV+eJbgsl6/Bumpp2He6BJTydg1Z7vV4yzsd2cZ2Y1CS92OotNp/97R20iL/pEV0bl1my+EG8CbrABZK7xg==" saltValue="YWCWTALncJquKX9iIuuFnQ==" spinCount="100000" sqref="D39:F40 F30 A30:D30 A28:F29 F25:F27 A25:D27 A24:F24 F23 A23:D23 A17:F22 F16 A16:D16 A11:F15 F10 A10:D10 A8:F9 F7 A7:D7 A5:F6 F4 A4:D4 A1:F3 A31:C38 D31:F36" name="Range1"/>
  </protectedRanges>
  <mergeCells count="15">
    <mergeCell ref="D32:E32"/>
    <mergeCell ref="D39:E39"/>
    <mergeCell ref="A2:B2"/>
    <mergeCell ref="A6:B6"/>
    <mergeCell ref="D2:E2"/>
    <mergeCell ref="D21:E21"/>
    <mergeCell ref="D29:E29"/>
    <mergeCell ref="D11:E11"/>
    <mergeCell ref="D15:E15"/>
    <mergeCell ref="D9:F9"/>
    <mergeCell ref="D6:F6"/>
    <mergeCell ref="D3:F3"/>
    <mergeCell ref="D18:E18"/>
    <mergeCell ref="D22:E22"/>
    <mergeCell ref="D24:E24"/>
  </mergeCells>
  <dataValidations count="1">
    <dataValidation type="list" allowBlank="1" showInputMessage="1" showErrorMessage="1" sqref="E16" xr:uid="{01ABCFD4-1162-43CD-B56B-A01295664DC4}">
      <formula1>Soilddown</formula1>
    </dataValidation>
  </dataValidations>
  <pageMargins left="0.25" right="0.25"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5A1C450A-D55B-457D-A558-E835FA5CD679}">
          <x14:formula1>
            <xm:f>'Nutrient Balance'!$T$18:$T$21</xm:f>
          </x14:formula1>
          <xm:sqref>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A46"/>
  <sheetViews>
    <sheetView zoomScale="72" zoomScaleNormal="72" workbookViewId="0">
      <selection activeCell="B2" sqref="B2:Q2"/>
    </sheetView>
  </sheetViews>
  <sheetFormatPr defaultColWidth="9" defaultRowHeight="15.75" x14ac:dyDescent="0.25"/>
  <cols>
    <col min="1" max="1" width="32" style="2" customWidth="1"/>
    <col min="2" max="2" width="9.25" style="2" customWidth="1"/>
    <col min="3" max="3" width="12.5" style="3" customWidth="1"/>
    <col min="4" max="4" width="14.75" style="3" customWidth="1"/>
    <col min="5" max="5" width="10.25" style="2" customWidth="1"/>
    <col min="6" max="6" width="11.625" style="2" customWidth="1"/>
    <col min="7" max="16" width="8.75" style="2" customWidth="1"/>
    <col min="17" max="17" width="8.75" style="4" customWidth="1"/>
    <col min="18" max="18" width="9" style="2"/>
    <col min="19" max="20" width="10.75" style="2" customWidth="1"/>
    <col min="21" max="21" width="12.25" style="2" customWidth="1"/>
    <col min="22" max="22" width="9" style="2"/>
    <col min="23" max="23" width="17" style="2" customWidth="1"/>
    <col min="24" max="24" width="10.75" style="2" customWidth="1"/>
    <col min="25" max="16384" width="9" style="2"/>
  </cols>
  <sheetData>
    <row r="1" spans="1:131" ht="30" customHeight="1" x14ac:dyDescent="0.45">
      <c r="A1" s="223" t="s">
        <v>119</v>
      </c>
      <c r="B1" s="224"/>
      <c r="C1" s="224"/>
      <c r="D1" s="224"/>
      <c r="E1" s="224"/>
      <c r="F1" s="224"/>
      <c r="G1" s="224"/>
      <c r="H1" s="224"/>
      <c r="I1" s="224"/>
      <c r="J1" s="224"/>
      <c r="K1" s="224"/>
      <c r="L1" s="224"/>
    </row>
    <row r="2" spans="1:131" ht="27" customHeight="1" x14ac:dyDescent="0.35">
      <c r="A2" s="50" t="s">
        <v>118</v>
      </c>
      <c r="B2" s="228">
        <f>'Summary Calculations'!E37</f>
        <v>0</v>
      </c>
      <c r="C2" s="229"/>
      <c r="D2" s="229"/>
      <c r="E2" s="229"/>
      <c r="F2" s="229"/>
      <c r="G2" s="229"/>
      <c r="H2" s="229"/>
      <c r="I2" s="229"/>
      <c r="J2" s="229"/>
      <c r="K2" s="229"/>
      <c r="L2" s="229"/>
      <c r="M2" s="229"/>
      <c r="N2" s="229"/>
      <c r="O2" s="229"/>
      <c r="P2" s="229"/>
      <c r="Q2" s="230"/>
    </row>
    <row r="3" spans="1:131" ht="27" customHeight="1" x14ac:dyDescent="0.35">
      <c r="A3" s="50"/>
      <c r="B3" s="50"/>
      <c r="C3" s="50"/>
      <c r="D3" s="50"/>
      <c r="E3" s="50"/>
      <c r="F3" s="50"/>
      <c r="G3" s="50"/>
      <c r="H3" s="50"/>
      <c r="I3" s="50"/>
      <c r="J3" s="50"/>
      <c r="K3" s="50"/>
      <c r="L3" s="50"/>
      <c r="M3" s="50"/>
      <c r="N3" s="4" t="s">
        <v>157</v>
      </c>
      <c r="O3" s="4"/>
      <c r="S3" s="4" t="s">
        <v>158</v>
      </c>
    </row>
    <row r="4" spans="1:131" ht="24" customHeight="1" x14ac:dyDescent="0.25">
      <c r="A4" s="4" t="s">
        <v>125</v>
      </c>
      <c r="C4" s="2"/>
      <c r="F4" s="2" t="s">
        <v>59</v>
      </c>
      <c r="N4" s="51" t="s">
        <v>134</v>
      </c>
      <c r="O4" s="52"/>
      <c r="P4" s="53">
        <v>120</v>
      </c>
      <c r="Q4" s="54" t="s">
        <v>136</v>
      </c>
      <c r="S4" s="55" t="s">
        <v>145</v>
      </c>
      <c r="T4" s="56" t="s">
        <v>201</v>
      </c>
      <c r="U4" s="57" t="s">
        <v>151</v>
      </c>
      <c r="V4" s="58" t="s">
        <v>148</v>
      </c>
      <c r="W4" s="57" t="s">
        <v>149</v>
      </c>
      <c r="X4" s="59" t="s">
        <v>202</v>
      </c>
      <c r="Y4" s="57" t="s">
        <v>203</v>
      </c>
      <c r="Z4" s="60" t="s">
        <v>207</v>
      </c>
      <c r="AA4" s="60" t="s">
        <v>208</v>
      </c>
    </row>
    <row r="5" spans="1:131" ht="15.75" customHeight="1" x14ac:dyDescent="0.2">
      <c r="A5" s="61" t="s">
        <v>0</v>
      </c>
      <c r="B5" s="62" t="s">
        <v>1</v>
      </c>
      <c r="C5" s="63">
        <f>'Summary Calculations'!E12</f>
        <v>0</v>
      </c>
      <c r="D5" s="62" t="s">
        <v>58</v>
      </c>
      <c r="N5" s="51" t="s">
        <v>135</v>
      </c>
      <c r="O5" s="52"/>
      <c r="P5" s="64">
        <f>'Summary Calculations'!E4</f>
        <v>0</v>
      </c>
      <c r="Q5" s="65"/>
      <c r="S5" s="66" t="s">
        <v>146</v>
      </c>
      <c r="T5" s="65"/>
      <c r="U5" s="67">
        <v>5</v>
      </c>
      <c r="V5" s="62" t="s">
        <v>115</v>
      </c>
      <c r="W5" s="68">
        <v>0.8</v>
      </c>
      <c r="X5" s="54"/>
      <c r="Y5" s="68" t="s">
        <v>152</v>
      </c>
      <c r="Z5" s="2">
        <v>1.8</v>
      </c>
      <c r="AA5" s="2">
        <v>170</v>
      </c>
    </row>
    <row r="6" spans="1:131" ht="18.75" customHeight="1" x14ac:dyDescent="0.2">
      <c r="A6" s="61" t="s">
        <v>160</v>
      </c>
      <c r="B6" s="62" t="s">
        <v>147</v>
      </c>
      <c r="C6" s="69" t="e">
        <f>'Summary Calculations'!F16</f>
        <v>#N/A</v>
      </c>
      <c r="D6" s="62" t="s">
        <v>115</v>
      </c>
      <c r="E6" s="2" t="s">
        <v>154</v>
      </c>
      <c r="N6" s="51" t="s">
        <v>162</v>
      </c>
      <c r="O6" s="52"/>
      <c r="P6" s="53">
        <f>IF(P5=0,0,P5+1)</f>
        <v>0</v>
      </c>
      <c r="Q6" s="54" t="s">
        <v>144</v>
      </c>
      <c r="S6" s="66" t="s">
        <v>181</v>
      </c>
      <c r="T6" s="65"/>
      <c r="U6" s="67">
        <v>4</v>
      </c>
      <c r="V6" s="62" t="s">
        <v>115</v>
      </c>
      <c r="W6" s="68">
        <v>0.75</v>
      </c>
      <c r="X6" s="54"/>
      <c r="Y6" s="68" t="s">
        <v>152</v>
      </c>
      <c r="Z6" s="2">
        <v>1.6</v>
      </c>
      <c r="AA6" s="2">
        <v>400</v>
      </c>
    </row>
    <row r="7" spans="1:131" ht="18.75" customHeight="1" x14ac:dyDescent="0.2">
      <c r="A7" s="61" t="s">
        <v>114</v>
      </c>
      <c r="B7" s="62" t="s">
        <v>39</v>
      </c>
      <c r="C7" s="63">
        <v>2404</v>
      </c>
      <c r="D7" s="62" t="s">
        <v>113</v>
      </c>
      <c r="J7" s="70"/>
      <c r="K7" s="70"/>
      <c r="L7" s="70"/>
      <c r="M7" s="70"/>
      <c r="N7" s="231" t="s">
        <v>163</v>
      </c>
      <c r="O7" s="232"/>
      <c r="P7" s="53">
        <f>P4*P6</f>
        <v>0</v>
      </c>
      <c r="Q7" s="54" t="s">
        <v>161</v>
      </c>
      <c r="R7" s="70"/>
      <c r="S7" s="71" t="s">
        <v>182</v>
      </c>
      <c r="T7" s="72"/>
      <c r="U7" s="73">
        <v>3</v>
      </c>
      <c r="V7" s="74" t="s">
        <v>115</v>
      </c>
      <c r="W7" s="75">
        <v>0.7</v>
      </c>
      <c r="X7" s="76"/>
      <c r="Y7" s="75" t="s">
        <v>152</v>
      </c>
      <c r="Z7" s="2">
        <v>1.4</v>
      </c>
      <c r="AA7" s="2">
        <v>700</v>
      </c>
    </row>
    <row r="8" spans="1:131" ht="18" customHeight="1" x14ac:dyDescent="0.2">
      <c r="A8" s="61" t="s">
        <v>23</v>
      </c>
      <c r="B8" s="62" t="s">
        <v>33</v>
      </c>
      <c r="C8" s="62" t="s">
        <v>128</v>
      </c>
      <c r="D8" s="62" t="s">
        <v>116</v>
      </c>
      <c r="E8" s="2" t="s">
        <v>137</v>
      </c>
      <c r="H8" s="70"/>
      <c r="I8" s="77"/>
      <c r="J8" s="70"/>
      <c r="K8" s="70"/>
      <c r="L8" s="70"/>
      <c r="M8" s="70"/>
      <c r="Q8" s="2"/>
      <c r="R8" s="70"/>
    </row>
    <row r="9" spans="1:131" ht="19.5" x14ac:dyDescent="0.35">
      <c r="A9" s="61" t="s">
        <v>159</v>
      </c>
      <c r="B9" s="62" t="s">
        <v>153</v>
      </c>
      <c r="C9" s="64" t="e">
        <f>'Summary Calculations'!G16</f>
        <v>#N/A</v>
      </c>
      <c r="D9" s="62" t="s">
        <v>116</v>
      </c>
      <c r="E9" s="2" t="s">
        <v>138</v>
      </c>
      <c r="H9" s="70"/>
      <c r="I9" s="70"/>
      <c r="J9" s="70"/>
      <c r="K9" s="70"/>
      <c r="L9" s="70"/>
      <c r="M9" s="78"/>
      <c r="N9" s="70"/>
      <c r="O9" s="70"/>
      <c r="P9" s="70"/>
      <c r="Q9" s="70"/>
      <c r="R9" s="70"/>
      <c r="S9" s="70"/>
      <c r="AA9" s="2" t="str" cm="1">
        <f t="array" ref="AA9:AA11">SoilType[LHI Soils]</f>
        <v>Sand</v>
      </c>
    </row>
    <row r="10" spans="1:131" x14ac:dyDescent="0.25">
      <c r="A10" s="61" t="s">
        <v>56</v>
      </c>
      <c r="B10" s="79" t="s">
        <v>143</v>
      </c>
      <c r="C10" s="66"/>
      <c r="D10" s="65"/>
      <c r="E10" s="2" t="s">
        <v>139</v>
      </c>
      <c r="J10" s="80"/>
      <c r="S10" s="77"/>
      <c r="AA10" s="2" t="str">
        <v>Calcareous earth</v>
      </c>
    </row>
    <row r="11" spans="1:131" x14ac:dyDescent="0.25">
      <c r="A11" s="61" t="s">
        <v>57</v>
      </c>
      <c r="B11" s="225" t="s">
        <v>150</v>
      </c>
      <c r="C11" s="226"/>
      <c r="D11" s="227"/>
      <c r="E11" s="2" t="s">
        <v>139</v>
      </c>
      <c r="AA11" s="2" t="str">
        <v>Volcanic soil</v>
      </c>
    </row>
    <row r="13" spans="1:131" ht="16.5" thickBot="1" x14ac:dyDescent="0.3"/>
    <row r="14" spans="1:131" s="1" customFormat="1" thickBot="1" x14ac:dyDescent="0.25">
      <c r="A14" s="81" t="s">
        <v>3</v>
      </c>
      <c r="B14" s="82" t="s">
        <v>4</v>
      </c>
      <c r="C14" s="82" t="s">
        <v>5</v>
      </c>
      <c r="D14" s="82" t="s">
        <v>6</v>
      </c>
      <c r="E14" s="82" t="s">
        <v>7</v>
      </c>
      <c r="F14" s="82" t="s">
        <v>8</v>
      </c>
      <c r="G14" s="82" t="s">
        <v>9</v>
      </c>
      <c r="H14" s="82" t="s">
        <v>10</v>
      </c>
      <c r="I14" s="82" t="s">
        <v>11</v>
      </c>
      <c r="J14" s="82" t="s">
        <v>12</v>
      </c>
      <c r="K14" s="82" t="s">
        <v>13</v>
      </c>
      <c r="L14" s="82" t="s">
        <v>14</v>
      </c>
      <c r="M14" s="82" t="s">
        <v>15</v>
      </c>
      <c r="N14" s="82" t="s">
        <v>16</v>
      </c>
      <c r="O14" s="82" t="s">
        <v>17</v>
      </c>
      <c r="P14" s="82" t="s">
        <v>18</v>
      </c>
      <c r="Q14" s="83" t="s">
        <v>19</v>
      </c>
      <c r="S14" s="2"/>
      <c r="T14" s="2"/>
    </row>
    <row r="15" spans="1:131" s="1" customFormat="1" ht="15" x14ac:dyDescent="0.2">
      <c r="A15" s="84" t="s">
        <v>20</v>
      </c>
      <c r="B15" s="1" t="s">
        <v>31</v>
      </c>
      <c r="C15" s="1" t="s">
        <v>44</v>
      </c>
      <c r="D15" s="1" t="s">
        <v>45</v>
      </c>
      <c r="E15" s="1">
        <v>31</v>
      </c>
      <c r="F15" s="1">
        <v>28</v>
      </c>
      <c r="G15" s="1">
        <v>31</v>
      </c>
      <c r="H15" s="1">
        <v>30</v>
      </c>
      <c r="I15" s="1">
        <v>31</v>
      </c>
      <c r="J15" s="1">
        <v>30</v>
      </c>
      <c r="K15" s="1">
        <v>31</v>
      </c>
      <c r="L15" s="1">
        <v>31</v>
      </c>
      <c r="M15" s="1">
        <v>30</v>
      </c>
      <c r="N15" s="1">
        <v>31</v>
      </c>
      <c r="O15" s="1">
        <v>30</v>
      </c>
      <c r="P15" s="1">
        <v>31</v>
      </c>
      <c r="Q15" s="85">
        <f>SUM(E15:P15)</f>
        <v>365</v>
      </c>
      <c r="S15" s="70"/>
      <c r="T15" s="2"/>
      <c r="U15" s="2"/>
      <c r="V15" s="2"/>
      <c r="W15" s="2"/>
      <c r="X15" s="2"/>
      <c r="Y15" s="2"/>
      <c r="Z15" s="2"/>
      <c r="AA15" s="2"/>
      <c r="AB15" s="2"/>
      <c r="AC15" s="2"/>
      <c r="AD15" s="2"/>
      <c r="AE15" s="2"/>
    </row>
    <row r="16" spans="1:131" s="7" customFormat="1" ht="15" x14ac:dyDescent="0.2">
      <c r="A16" s="84" t="s">
        <v>21</v>
      </c>
      <c r="B16" s="1" t="s">
        <v>2</v>
      </c>
      <c r="C16" s="1" t="s">
        <v>44</v>
      </c>
      <c r="D16" s="1" t="s">
        <v>46</v>
      </c>
      <c r="E16" s="86">
        <v>117.5</v>
      </c>
      <c r="F16" s="86">
        <v>116.2</v>
      </c>
      <c r="G16" s="86">
        <v>134.9</v>
      </c>
      <c r="H16" s="86">
        <v>134.19999999999999</v>
      </c>
      <c r="I16" s="86">
        <v>157.69999999999999</v>
      </c>
      <c r="J16" s="86">
        <v>173.1</v>
      </c>
      <c r="K16" s="86">
        <v>141</v>
      </c>
      <c r="L16" s="86">
        <v>107.7</v>
      </c>
      <c r="M16" s="86">
        <v>110.7</v>
      </c>
      <c r="N16" s="86">
        <v>106.1</v>
      </c>
      <c r="O16" s="86">
        <v>110.3</v>
      </c>
      <c r="P16" s="86">
        <v>102.4</v>
      </c>
      <c r="Q16" s="87">
        <f>SUM(E16:P16)</f>
        <v>1511.8</v>
      </c>
      <c r="R16" s="88"/>
      <c r="S16" s="77"/>
      <c r="T16" s="2"/>
      <c r="U16" s="2"/>
      <c r="V16" s="2"/>
      <c r="W16" s="2"/>
      <c r="X16" s="2"/>
      <c r="Y16" s="2"/>
      <c r="Z16" s="2"/>
      <c r="AA16" s="2"/>
      <c r="AB16" s="2"/>
      <c r="AC16" s="2"/>
      <c r="AD16" s="2"/>
      <c r="AE16" s="2"/>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row>
    <row r="17" spans="1:131" s="7" customFormat="1" ht="15" x14ac:dyDescent="0.2">
      <c r="A17" s="84" t="s">
        <v>22</v>
      </c>
      <c r="B17" s="1" t="s">
        <v>32</v>
      </c>
      <c r="C17" s="1" t="s">
        <v>44</v>
      </c>
      <c r="D17" s="1" t="s">
        <v>46</v>
      </c>
      <c r="E17" s="1">
        <f>E18*E15</f>
        <v>167.4</v>
      </c>
      <c r="F17" s="1">
        <f t="shared" ref="F17:P17" si="0">F18*F15</f>
        <v>148.4</v>
      </c>
      <c r="G17" s="1">
        <f t="shared" si="0"/>
        <v>151.9</v>
      </c>
      <c r="H17" s="1">
        <f t="shared" si="0"/>
        <v>120</v>
      </c>
      <c r="I17" s="1">
        <f t="shared" si="0"/>
        <v>102.3</v>
      </c>
      <c r="J17" s="1">
        <f t="shared" si="0"/>
        <v>90</v>
      </c>
      <c r="K17" s="1">
        <f t="shared" si="0"/>
        <v>93</v>
      </c>
      <c r="L17" s="1">
        <f t="shared" si="0"/>
        <v>105.39999999999999</v>
      </c>
      <c r="M17" s="1">
        <f t="shared" si="0"/>
        <v>117</v>
      </c>
      <c r="N17" s="1">
        <f t="shared" si="0"/>
        <v>139.5</v>
      </c>
      <c r="O17" s="1">
        <f t="shared" si="0"/>
        <v>153</v>
      </c>
      <c r="P17" s="1">
        <f t="shared" si="0"/>
        <v>170.5</v>
      </c>
      <c r="Q17" s="89">
        <f>SUM(E17:P17)</f>
        <v>1558.4</v>
      </c>
      <c r="R17" s="1"/>
      <c r="S17" s="2"/>
      <c r="T17" s="2"/>
      <c r="U17" s="2"/>
      <c r="V17" s="2"/>
      <c r="W17" s="2"/>
      <c r="X17" s="2"/>
      <c r="Y17" s="2"/>
      <c r="Z17" s="2"/>
      <c r="AA17" s="2"/>
      <c r="AB17" s="2"/>
      <c r="AC17" s="2"/>
      <c r="AD17" s="2"/>
      <c r="AE17" s="2"/>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row>
    <row r="18" spans="1:131" s="7" customFormat="1" ht="15" x14ac:dyDescent="0.2">
      <c r="A18" s="84" t="s">
        <v>133</v>
      </c>
      <c r="B18" s="1"/>
      <c r="C18" s="1"/>
      <c r="D18" s="1" t="s">
        <v>115</v>
      </c>
      <c r="E18" s="86">
        <v>5.4</v>
      </c>
      <c r="F18" s="86">
        <v>5.3</v>
      </c>
      <c r="G18" s="86">
        <v>4.9000000000000004</v>
      </c>
      <c r="H18" s="86">
        <v>4</v>
      </c>
      <c r="I18" s="86">
        <v>3.3</v>
      </c>
      <c r="J18" s="86">
        <v>3</v>
      </c>
      <c r="K18" s="86">
        <v>3</v>
      </c>
      <c r="L18" s="86">
        <v>3.4</v>
      </c>
      <c r="M18" s="86">
        <v>3.9</v>
      </c>
      <c r="N18" s="86">
        <v>4.5</v>
      </c>
      <c r="O18" s="86">
        <v>5.0999999999999996</v>
      </c>
      <c r="P18" s="86">
        <v>5.5</v>
      </c>
      <c r="Q18" s="87"/>
      <c r="R18" s="1"/>
      <c r="S18" s="2"/>
      <c r="T18" s="2"/>
      <c r="U18" s="2"/>
      <c r="V18" s="2"/>
      <c r="W18" s="2"/>
      <c r="X18" s="2"/>
      <c r="Y18" s="2"/>
      <c r="Z18" s="2"/>
      <c r="AA18" s="2"/>
      <c r="AB18" s="2"/>
      <c r="AC18" s="2"/>
      <c r="AD18" s="2"/>
      <c r="AE18" s="2"/>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row>
    <row r="19" spans="1:131" s="1" customFormat="1" ht="15" x14ac:dyDescent="0.2">
      <c r="A19" s="90" t="s">
        <v>23</v>
      </c>
      <c r="B19" s="91" t="s">
        <v>33</v>
      </c>
      <c r="C19" s="91"/>
      <c r="D19" s="91" t="s">
        <v>116</v>
      </c>
      <c r="E19" s="92">
        <v>0.8</v>
      </c>
      <c r="F19" s="92">
        <v>0.8</v>
      </c>
      <c r="G19" s="92">
        <v>0.8</v>
      </c>
      <c r="H19" s="92">
        <v>0.7</v>
      </c>
      <c r="I19" s="92">
        <v>0.7</v>
      </c>
      <c r="J19" s="92">
        <v>0.7</v>
      </c>
      <c r="K19" s="92">
        <v>0.7</v>
      </c>
      <c r="L19" s="92">
        <v>0.7</v>
      </c>
      <c r="M19" s="92">
        <v>0.7</v>
      </c>
      <c r="N19" s="92">
        <v>0.8</v>
      </c>
      <c r="O19" s="92">
        <v>0.8</v>
      </c>
      <c r="P19" s="92">
        <v>0.8</v>
      </c>
      <c r="Q19" s="87" t="s">
        <v>59</v>
      </c>
      <c r="S19" s="2"/>
      <c r="T19" s="2"/>
      <c r="U19" s="2"/>
      <c r="V19" s="2"/>
      <c r="W19" s="2"/>
      <c r="X19" s="2"/>
      <c r="Y19" s="2"/>
      <c r="Z19" s="2"/>
      <c r="AA19" s="2"/>
      <c r="AB19" s="2"/>
      <c r="AC19" s="2"/>
      <c r="AD19" s="2"/>
      <c r="AE19" s="2"/>
    </row>
    <row r="20" spans="1:131" x14ac:dyDescent="0.25">
      <c r="A20" s="93" t="s">
        <v>24</v>
      </c>
      <c r="E20" s="94"/>
      <c r="F20" s="94"/>
      <c r="G20" s="94"/>
      <c r="H20" s="94"/>
      <c r="I20" s="94"/>
      <c r="J20" s="94"/>
      <c r="K20" s="94"/>
      <c r="L20" s="94"/>
      <c r="M20" s="94"/>
      <c r="N20" s="94"/>
      <c r="O20" s="94"/>
      <c r="P20" s="94"/>
      <c r="Q20" s="95"/>
    </row>
    <row r="21" spans="1:131" ht="15" x14ac:dyDescent="0.2">
      <c r="A21" s="84" t="s">
        <v>25</v>
      </c>
      <c r="B21" s="1" t="s">
        <v>34</v>
      </c>
      <c r="C21" s="1" t="s">
        <v>41</v>
      </c>
      <c r="D21" s="1" t="s">
        <v>46</v>
      </c>
      <c r="E21" s="96">
        <f t="shared" ref="E21:P21" si="1">E17*E19</f>
        <v>133.92000000000002</v>
      </c>
      <c r="F21" s="96">
        <f t="shared" si="1"/>
        <v>118.72000000000001</v>
      </c>
      <c r="G21" s="96">
        <f t="shared" si="1"/>
        <v>121.52000000000001</v>
      </c>
      <c r="H21" s="96">
        <f t="shared" si="1"/>
        <v>84</v>
      </c>
      <c r="I21" s="96">
        <f t="shared" si="1"/>
        <v>71.61</v>
      </c>
      <c r="J21" s="96">
        <f t="shared" si="1"/>
        <v>62.999999999999993</v>
      </c>
      <c r="K21" s="96">
        <f t="shared" si="1"/>
        <v>65.099999999999994</v>
      </c>
      <c r="L21" s="96">
        <f t="shared" si="1"/>
        <v>73.779999999999987</v>
      </c>
      <c r="M21" s="96">
        <f t="shared" si="1"/>
        <v>81.899999999999991</v>
      </c>
      <c r="N21" s="96">
        <f t="shared" si="1"/>
        <v>111.60000000000001</v>
      </c>
      <c r="O21" s="96">
        <f t="shared" si="1"/>
        <v>122.4</v>
      </c>
      <c r="P21" s="96">
        <f t="shared" si="1"/>
        <v>136.4</v>
      </c>
      <c r="Q21" s="97">
        <f>SUM(E21:P21)</f>
        <v>1183.9500000000003</v>
      </c>
    </row>
    <row r="22" spans="1:131" s="1" customFormat="1" ht="12.75" x14ac:dyDescent="0.2">
      <c r="A22" s="84" t="s">
        <v>26</v>
      </c>
      <c r="B22" s="1" t="s">
        <v>35</v>
      </c>
      <c r="C22" s="1" t="s">
        <v>132</v>
      </c>
      <c r="D22" s="1" t="s">
        <v>46</v>
      </c>
      <c r="E22" s="96" t="e">
        <f>C6*E15</f>
        <v>#N/A</v>
      </c>
      <c r="F22" s="1" t="e">
        <f>C6*F15</f>
        <v>#N/A</v>
      </c>
      <c r="G22" s="96" t="e">
        <f>C6*G15</f>
        <v>#N/A</v>
      </c>
      <c r="H22" s="96" t="e">
        <f>C6*H15</f>
        <v>#N/A</v>
      </c>
      <c r="I22" s="96" t="e">
        <f>C6*I15</f>
        <v>#N/A</v>
      </c>
      <c r="J22" s="96" t="e">
        <f>C6*J15</f>
        <v>#N/A</v>
      </c>
      <c r="K22" s="96" t="e">
        <f>C6*K15</f>
        <v>#N/A</v>
      </c>
      <c r="L22" s="96" t="e">
        <f>C6*L15</f>
        <v>#N/A</v>
      </c>
      <c r="M22" s="96" t="e">
        <f>C6*M15</f>
        <v>#N/A</v>
      </c>
      <c r="N22" s="96" t="e">
        <f>C6*N15</f>
        <v>#N/A</v>
      </c>
      <c r="O22" s="96" t="e">
        <f>C6*O15</f>
        <v>#N/A</v>
      </c>
      <c r="P22" s="96" t="e">
        <f>C6*P15</f>
        <v>#N/A</v>
      </c>
      <c r="Q22" s="97" t="e">
        <f>SUM(E22:P22)</f>
        <v>#N/A</v>
      </c>
    </row>
    <row r="23" spans="1:131" s="1" customFormat="1" ht="12.75" x14ac:dyDescent="0.2">
      <c r="A23" s="90" t="s">
        <v>27</v>
      </c>
      <c r="B23" s="91"/>
      <c r="C23" s="91" t="s">
        <v>42</v>
      </c>
      <c r="D23" s="91" t="s">
        <v>46</v>
      </c>
      <c r="E23" s="86" t="e">
        <f t="shared" ref="E23:Q23" si="2">SUM(E21:E22)</f>
        <v>#N/A</v>
      </c>
      <c r="F23" s="91" t="e">
        <f t="shared" si="2"/>
        <v>#N/A</v>
      </c>
      <c r="G23" s="86" t="e">
        <f t="shared" si="2"/>
        <v>#N/A</v>
      </c>
      <c r="H23" s="86" t="e">
        <f t="shared" si="2"/>
        <v>#N/A</v>
      </c>
      <c r="I23" s="86" t="e">
        <f t="shared" si="2"/>
        <v>#N/A</v>
      </c>
      <c r="J23" s="86" t="e">
        <f t="shared" si="2"/>
        <v>#N/A</v>
      </c>
      <c r="K23" s="86" t="e">
        <f t="shared" si="2"/>
        <v>#N/A</v>
      </c>
      <c r="L23" s="86" t="e">
        <f t="shared" si="2"/>
        <v>#N/A</v>
      </c>
      <c r="M23" s="86" t="e">
        <f t="shared" si="2"/>
        <v>#N/A</v>
      </c>
      <c r="N23" s="86" t="e">
        <f t="shared" si="2"/>
        <v>#N/A</v>
      </c>
      <c r="O23" s="86" t="e">
        <f t="shared" si="2"/>
        <v>#N/A</v>
      </c>
      <c r="P23" s="86" t="e">
        <f t="shared" si="2"/>
        <v>#N/A</v>
      </c>
      <c r="Q23" s="98" t="e">
        <f t="shared" si="2"/>
        <v>#N/A</v>
      </c>
    </row>
    <row r="24" spans="1:131" s="1" customFormat="1" x14ac:dyDescent="0.25">
      <c r="A24" s="93" t="s">
        <v>28</v>
      </c>
      <c r="B24" s="2"/>
      <c r="C24" s="3"/>
      <c r="D24" s="3"/>
      <c r="E24" s="94"/>
      <c r="F24" s="94"/>
      <c r="G24" s="94"/>
      <c r="H24" s="94"/>
      <c r="I24" s="94"/>
      <c r="J24" s="94"/>
      <c r="K24" s="94"/>
      <c r="L24" s="94"/>
      <c r="M24" s="94"/>
      <c r="N24" s="94"/>
      <c r="O24" s="94"/>
      <c r="P24" s="94"/>
      <c r="Q24" s="99"/>
    </row>
    <row r="25" spans="1:131" ht="19.5" x14ac:dyDescent="0.35">
      <c r="A25" s="84" t="s">
        <v>51</v>
      </c>
      <c r="B25" s="1" t="s">
        <v>52</v>
      </c>
      <c r="C25" s="1" t="s">
        <v>153</v>
      </c>
      <c r="D25" s="1" t="s">
        <v>46</v>
      </c>
      <c r="E25" s="1" t="e">
        <f>E16*C9</f>
        <v>#N/A</v>
      </c>
      <c r="F25" s="1" t="e">
        <f>F16*C9</f>
        <v>#N/A</v>
      </c>
      <c r="G25" s="1" t="e">
        <f>G16*C9</f>
        <v>#N/A</v>
      </c>
      <c r="H25" s="1" t="e">
        <f>H16*C9</f>
        <v>#N/A</v>
      </c>
      <c r="I25" s="1" t="e">
        <f>I16*C9</f>
        <v>#N/A</v>
      </c>
      <c r="J25" s="1" t="e">
        <f>J16*C9</f>
        <v>#N/A</v>
      </c>
      <c r="K25" s="1" t="e">
        <f>K16*C9</f>
        <v>#N/A</v>
      </c>
      <c r="L25" s="1" t="e">
        <f>L16*C9</f>
        <v>#N/A</v>
      </c>
      <c r="M25" s="1" t="e">
        <f>M16*C9</f>
        <v>#N/A</v>
      </c>
      <c r="N25" s="1" t="e">
        <f>N16*C9</f>
        <v>#N/A</v>
      </c>
      <c r="O25" s="1" t="e">
        <f>O16*C9</f>
        <v>#N/A</v>
      </c>
      <c r="P25" s="1" t="e">
        <f>P16*C9</f>
        <v>#N/A</v>
      </c>
      <c r="Q25" s="97" t="e">
        <f>SUM(E25:P25)</f>
        <v>#N/A</v>
      </c>
    </row>
    <row r="26" spans="1:131" ht="15" x14ac:dyDescent="0.2">
      <c r="A26" s="84" t="s">
        <v>49</v>
      </c>
      <c r="B26" s="1" t="s">
        <v>36</v>
      </c>
      <c r="C26" s="1" t="s">
        <v>50</v>
      </c>
      <c r="D26" s="1" t="s">
        <v>46</v>
      </c>
      <c r="E26" s="96">
        <f>(C5*E15)/C7</f>
        <v>0</v>
      </c>
      <c r="F26" s="96">
        <f>(C5*F15)/C7</f>
        <v>0</v>
      </c>
      <c r="G26" s="96">
        <f>(C5*G15)/C7</f>
        <v>0</v>
      </c>
      <c r="H26" s="96">
        <f>(C5*H15)/C7</f>
        <v>0</v>
      </c>
      <c r="I26" s="96">
        <f>(C5*I15)/C7</f>
        <v>0</v>
      </c>
      <c r="J26" s="96">
        <f>(C5*J15)/C7</f>
        <v>0</v>
      </c>
      <c r="K26" s="96">
        <f>(C5*K15)/C7</f>
        <v>0</v>
      </c>
      <c r="L26" s="96">
        <f>(C5*L15)/C7</f>
        <v>0</v>
      </c>
      <c r="M26" s="96">
        <f>(C5*M15)/C7</f>
        <v>0</v>
      </c>
      <c r="N26" s="96">
        <f>C5*N15/C7</f>
        <v>0</v>
      </c>
      <c r="O26" s="96">
        <f>C5*O15/C7</f>
        <v>0</v>
      </c>
      <c r="P26" s="96">
        <f>C5*P15/C7</f>
        <v>0</v>
      </c>
      <c r="Q26" s="97">
        <f>SUM(E26:P26)</f>
        <v>0</v>
      </c>
    </row>
    <row r="27" spans="1:131" s="1" customFormat="1" ht="12.75" x14ac:dyDescent="0.2">
      <c r="A27" s="90" t="s">
        <v>29</v>
      </c>
      <c r="B27" s="91"/>
      <c r="C27" s="91" t="s">
        <v>53</v>
      </c>
      <c r="D27" s="91" t="s">
        <v>46</v>
      </c>
      <c r="E27" s="86" t="e">
        <f t="shared" ref="E27:Q27" si="3">SUM(E25,E26)</f>
        <v>#N/A</v>
      </c>
      <c r="F27" s="86" t="e">
        <f t="shared" si="3"/>
        <v>#N/A</v>
      </c>
      <c r="G27" s="86" t="e">
        <f t="shared" si="3"/>
        <v>#N/A</v>
      </c>
      <c r="H27" s="86" t="e">
        <f t="shared" si="3"/>
        <v>#N/A</v>
      </c>
      <c r="I27" s="86" t="e">
        <f t="shared" si="3"/>
        <v>#N/A</v>
      </c>
      <c r="J27" s="86" t="e">
        <f t="shared" si="3"/>
        <v>#N/A</v>
      </c>
      <c r="K27" s="86" t="e">
        <f t="shared" si="3"/>
        <v>#N/A</v>
      </c>
      <c r="L27" s="86" t="e">
        <f t="shared" si="3"/>
        <v>#N/A</v>
      </c>
      <c r="M27" s="86" t="e">
        <f t="shared" si="3"/>
        <v>#N/A</v>
      </c>
      <c r="N27" s="86" t="e">
        <f t="shared" si="3"/>
        <v>#N/A</v>
      </c>
      <c r="O27" s="86" t="e">
        <f t="shared" si="3"/>
        <v>#N/A</v>
      </c>
      <c r="P27" s="86" t="e">
        <f t="shared" si="3"/>
        <v>#N/A</v>
      </c>
      <c r="Q27" s="98" t="e">
        <f t="shared" si="3"/>
        <v>#N/A</v>
      </c>
    </row>
    <row r="28" spans="1:131" s="1" customFormat="1" ht="15.75" customHeight="1" x14ac:dyDescent="0.25">
      <c r="A28" s="100" t="s">
        <v>120</v>
      </c>
      <c r="E28" s="96"/>
      <c r="F28" s="96"/>
      <c r="G28" s="96"/>
      <c r="H28" s="96"/>
      <c r="I28" s="96"/>
      <c r="J28" s="96"/>
      <c r="K28" s="96"/>
      <c r="L28" s="96"/>
      <c r="M28" s="96"/>
      <c r="N28" s="96"/>
      <c r="O28" s="96"/>
      <c r="P28" s="96"/>
      <c r="Q28" s="97"/>
    </row>
    <row r="29" spans="1:131" s="1" customFormat="1" ht="15" x14ac:dyDescent="0.2">
      <c r="A29" s="84" t="s">
        <v>55</v>
      </c>
      <c r="B29" s="2"/>
      <c r="C29" s="3"/>
      <c r="D29" s="1" t="s">
        <v>46</v>
      </c>
      <c r="E29" s="96">
        <v>0</v>
      </c>
      <c r="F29" s="96" t="e">
        <f t="shared" ref="F29:P29" si="4">E31</f>
        <v>#N/A</v>
      </c>
      <c r="G29" s="96" t="e">
        <f t="shared" si="4"/>
        <v>#N/A</v>
      </c>
      <c r="H29" s="96" t="e">
        <f t="shared" si="4"/>
        <v>#N/A</v>
      </c>
      <c r="I29" s="96" t="e">
        <f t="shared" si="4"/>
        <v>#N/A</v>
      </c>
      <c r="J29" s="96" t="e">
        <f t="shared" si="4"/>
        <v>#N/A</v>
      </c>
      <c r="K29" s="96" t="e">
        <f t="shared" si="4"/>
        <v>#N/A</v>
      </c>
      <c r="L29" s="96" t="e">
        <f t="shared" si="4"/>
        <v>#N/A</v>
      </c>
      <c r="M29" s="96" t="e">
        <f t="shared" si="4"/>
        <v>#N/A</v>
      </c>
      <c r="N29" s="96" t="e">
        <f t="shared" si="4"/>
        <v>#N/A</v>
      </c>
      <c r="O29" s="96" t="e">
        <f t="shared" si="4"/>
        <v>#N/A</v>
      </c>
      <c r="P29" s="96" t="e">
        <f t="shared" si="4"/>
        <v>#N/A</v>
      </c>
      <c r="Q29" s="97"/>
    </row>
    <row r="30" spans="1:131" s="1" customFormat="1" ht="12.75" x14ac:dyDescent="0.2">
      <c r="A30" s="84" t="s">
        <v>121</v>
      </c>
      <c r="B30" s="1" t="s">
        <v>37</v>
      </c>
      <c r="C30" s="1" t="s">
        <v>54</v>
      </c>
      <c r="D30" s="1" t="s">
        <v>46</v>
      </c>
      <c r="E30" s="96" t="e">
        <f t="shared" ref="E30:P30" si="5">E27-E23</f>
        <v>#N/A</v>
      </c>
      <c r="F30" s="96" t="e">
        <f t="shared" si="5"/>
        <v>#N/A</v>
      </c>
      <c r="G30" s="96" t="e">
        <f t="shared" si="5"/>
        <v>#N/A</v>
      </c>
      <c r="H30" s="96" t="e">
        <f t="shared" si="5"/>
        <v>#N/A</v>
      </c>
      <c r="I30" s="96" t="e">
        <f t="shared" si="5"/>
        <v>#N/A</v>
      </c>
      <c r="J30" s="96" t="e">
        <f t="shared" si="5"/>
        <v>#N/A</v>
      </c>
      <c r="K30" s="96" t="e">
        <f t="shared" si="5"/>
        <v>#N/A</v>
      </c>
      <c r="L30" s="96" t="e">
        <f t="shared" si="5"/>
        <v>#N/A</v>
      </c>
      <c r="M30" s="96" t="e">
        <f t="shared" si="5"/>
        <v>#N/A</v>
      </c>
      <c r="N30" s="96" t="e">
        <f t="shared" si="5"/>
        <v>#N/A</v>
      </c>
      <c r="O30" s="96" t="e">
        <f t="shared" si="5"/>
        <v>#N/A</v>
      </c>
      <c r="P30" s="96" t="e">
        <f t="shared" si="5"/>
        <v>#N/A</v>
      </c>
      <c r="Q30" s="97"/>
    </row>
    <row r="31" spans="1:131" s="3" customFormat="1" ht="12.75" x14ac:dyDescent="0.2">
      <c r="A31" s="84" t="s">
        <v>30</v>
      </c>
      <c r="B31" s="1" t="s">
        <v>38</v>
      </c>
      <c r="C31" s="1"/>
      <c r="D31" s="1" t="s">
        <v>47</v>
      </c>
      <c r="E31" s="96" t="e">
        <f t="shared" ref="E31:P31" si="6">IF(E29+E30&gt;0,E29+E30,0)</f>
        <v>#N/A</v>
      </c>
      <c r="F31" s="96" t="e">
        <f t="shared" si="6"/>
        <v>#N/A</v>
      </c>
      <c r="G31" s="96" t="e">
        <f t="shared" si="6"/>
        <v>#N/A</v>
      </c>
      <c r="H31" s="96" t="e">
        <f t="shared" si="6"/>
        <v>#N/A</v>
      </c>
      <c r="I31" s="96" t="e">
        <f t="shared" si="6"/>
        <v>#N/A</v>
      </c>
      <c r="J31" s="96" t="e">
        <f t="shared" si="6"/>
        <v>#N/A</v>
      </c>
      <c r="K31" s="96" t="e">
        <f t="shared" si="6"/>
        <v>#N/A</v>
      </c>
      <c r="L31" s="96" t="e">
        <f t="shared" si="6"/>
        <v>#N/A</v>
      </c>
      <c r="M31" s="96" t="e">
        <f t="shared" si="6"/>
        <v>#N/A</v>
      </c>
      <c r="N31" s="96" t="e">
        <f t="shared" si="6"/>
        <v>#N/A</v>
      </c>
      <c r="O31" s="96" t="e">
        <f t="shared" si="6"/>
        <v>#N/A</v>
      </c>
      <c r="P31" s="96" t="e">
        <f t="shared" si="6"/>
        <v>#N/A</v>
      </c>
      <c r="Q31" s="97"/>
    </row>
    <row r="32" spans="1:131" s="3" customFormat="1" x14ac:dyDescent="0.25">
      <c r="A32" s="84" t="s">
        <v>122</v>
      </c>
      <c r="B32" s="94" t="s">
        <v>43</v>
      </c>
      <c r="C32" s="1"/>
      <c r="D32" s="1" t="s">
        <v>47</v>
      </c>
      <c r="E32" s="101" t="e">
        <f>MAX(E31:P31)</f>
        <v>#N/A</v>
      </c>
      <c r="F32" s="96"/>
      <c r="G32" s="96"/>
      <c r="H32" s="96"/>
      <c r="I32" s="96"/>
      <c r="J32" s="96"/>
      <c r="K32" s="96"/>
      <c r="L32" s="96"/>
      <c r="M32" s="96"/>
      <c r="N32" s="96"/>
      <c r="O32" s="96"/>
      <c r="P32" s="96"/>
      <c r="Q32" s="97"/>
    </row>
    <row r="33" spans="1:25" s="3" customFormat="1" x14ac:dyDescent="0.25">
      <c r="A33" s="102"/>
      <c r="B33" s="60" t="s">
        <v>40</v>
      </c>
      <c r="C33" s="91" t="s">
        <v>48</v>
      </c>
      <c r="D33" s="91" t="s">
        <v>39</v>
      </c>
      <c r="E33" s="103" t="e">
        <f>E32*C7</f>
        <v>#N/A</v>
      </c>
      <c r="F33" s="86"/>
      <c r="G33" s="86"/>
      <c r="H33" s="86"/>
      <c r="I33" s="86"/>
      <c r="J33" s="86"/>
      <c r="K33" s="86"/>
      <c r="L33" s="86"/>
      <c r="M33" s="86"/>
      <c r="N33" s="86"/>
      <c r="O33" s="86"/>
      <c r="P33" s="86"/>
      <c r="Q33" s="98"/>
    </row>
    <row r="34" spans="1:25" s="3" customFormat="1" x14ac:dyDescent="0.25">
      <c r="A34" s="93" t="s">
        <v>123</v>
      </c>
      <c r="B34" s="2"/>
      <c r="C34" s="104"/>
      <c r="D34" s="1" t="s">
        <v>89</v>
      </c>
      <c r="E34" s="105" t="e">
        <f>C5*E15/(E21-E25+E22)</f>
        <v>#N/A</v>
      </c>
      <c r="F34" s="105" t="e">
        <f>C5*F15/(F21-F25+F22)</f>
        <v>#N/A</v>
      </c>
      <c r="G34" s="105" t="e">
        <f>C5*G15/(G21-G25+G22)</f>
        <v>#N/A</v>
      </c>
      <c r="H34" s="105" t="e">
        <f>C5*H15/(H21-H25+H22)</f>
        <v>#N/A</v>
      </c>
      <c r="I34" s="105" t="e">
        <f>C5*I15/(I21-I25+I22)</f>
        <v>#N/A</v>
      </c>
      <c r="J34" s="105" t="e">
        <f>C5*J15/(J21-J25+J22)</f>
        <v>#N/A</v>
      </c>
      <c r="K34" s="105" t="e">
        <f>C5*K15/(K21-K25+K22)</f>
        <v>#N/A</v>
      </c>
      <c r="L34" s="105" t="e">
        <f>C5*L15/(L21-L25+L22)</f>
        <v>#N/A</v>
      </c>
      <c r="M34" s="105" t="e">
        <f>C5*M15/(M21-M25+M22)</f>
        <v>#N/A</v>
      </c>
      <c r="N34" s="105" t="e">
        <f>C5*N15/(N21-N25+N22)</f>
        <v>#N/A</v>
      </c>
      <c r="O34" s="105" t="e">
        <f>C5*O15/(O21-O25+O22)</f>
        <v>#N/A</v>
      </c>
      <c r="P34" s="105" t="e">
        <f>C5*P15/(P21-P25+P22)</f>
        <v>#N/A</v>
      </c>
      <c r="Q34" s="106"/>
    </row>
    <row r="35" spans="1:25" s="1" customFormat="1" x14ac:dyDescent="0.25">
      <c r="A35" s="107"/>
      <c r="B35" s="94"/>
      <c r="E35" s="108"/>
      <c r="F35" s="109"/>
      <c r="G35" s="109"/>
      <c r="H35" s="109"/>
      <c r="I35" s="94"/>
      <c r="J35" s="94"/>
      <c r="K35" s="94"/>
      <c r="L35" s="94"/>
      <c r="M35" s="94"/>
      <c r="N35" s="94"/>
      <c r="O35" s="94"/>
      <c r="P35" s="94"/>
      <c r="Q35" s="110"/>
      <c r="S35" s="96"/>
    </row>
    <row r="36" spans="1:25" s="1" customFormat="1" ht="18.75" x14ac:dyDescent="0.25">
      <c r="A36" s="220" t="s">
        <v>124</v>
      </c>
      <c r="B36" s="221"/>
      <c r="C36" s="221"/>
      <c r="D36" s="222"/>
      <c r="E36" s="111" t="e">
        <f>IF(E33&gt;0,"Storage Required",MAX(E34:P34))</f>
        <v>#N/A</v>
      </c>
      <c r="G36" s="2" t="s">
        <v>113</v>
      </c>
      <c r="H36" s="94"/>
      <c r="I36" s="94"/>
      <c r="J36" s="94"/>
      <c r="K36" s="94"/>
      <c r="L36" s="94"/>
      <c r="M36" s="94"/>
      <c r="N36" s="94"/>
      <c r="O36" s="94"/>
      <c r="P36" s="94"/>
      <c r="Q36" s="95"/>
    </row>
    <row r="37" spans="1:25" ht="16.5" thickBot="1" x14ac:dyDescent="0.3">
      <c r="A37" s="112"/>
      <c r="B37" s="113"/>
      <c r="C37" s="113"/>
      <c r="D37" s="113"/>
      <c r="E37" s="113"/>
      <c r="F37" s="113"/>
      <c r="G37" s="113"/>
      <c r="H37" s="113"/>
      <c r="I37" s="113"/>
      <c r="J37" s="113"/>
      <c r="K37" s="113"/>
      <c r="L37" s="113"/>
      <c r="M37" s="113"/>
      <c r="N37" s="113"/>
      <c r="O37" s="113"/>
      <c r="P37" s="113"/>
      <c r="Q37" s="114"/>
    </row>
    <row r="39" spans="1:25" x14ac:dyDescent="0.25">
      <c r="A39" s="2" t="s">
        <v>155</v>
      </c>
    </row>
    <row r="40" spans="1:25" ht="27.75" customHeight="1" x14ac:dyDescent="0.2">
      <c r="A40" s="219" t="s">
        <v>194</v>
      </c>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row>
    <row r="41" spans="1:25" x14ac:dyDescent="0.25">
      <c r="A41" s="2" t="s">
        <v>164</v>
      </c>
    </row>
    <row r="42" spans="1:25" x14ac:dyDescent="0.25">
      <c r="A42" s="2" t="s">
        <v>165</v>
      </c>
    </row>
    <row r="43" spans="1:25" x14ac:dyDescent="0.25">
      <c r="A43" s="2" t="s">
        <v>166</v>
      </c>
    </row>
    <row r="44" spans="1:25" x14ac:dyDescent="0.25">
      <c r="A44" s="2" t="s">
        <v>156</v>
      </c>
    </row>
    <row r="45" spans="1:25" x14ac:dyDescent="0.25">
      <c r="A45" s="2" t="s">
        <v>167</v>
      </c>
    </row>
    <row r="46" spans="1:25" ht="29.25" customHeight="1" x14ac:dyDescent="0.2">
      <c r="A46" s="219" t="s">
        <v>187</v>
      </c>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row>
  </sheetData>
  <sheetProtection algorithmName="SHA-512" hashValue="kyG714F3GCC6bTTAQO+85JDMx7LDL/mklFJjZQzC26FdQFjSSXIw1uSMTLusVrwLIm6ImmfpSF3zAZ4M1spbwQ==" saltValue="vGQwkxr1RQTKxY3TmqHNyA==" spinCount="100000" sheet="1" objects="1" scenarios="1"/>
  <mergeCells count="7">
    <mergeCell ref="A40:Y40"/>
    <mergeCell ref="A46:Y46"/>
    <mergeCell ref="A36:D36"/>
    <mergeCell ref="A1:L1"/>
    <mergeCell ref="B11:D11"/>
    <mergeCell ref="B2:Q2"/>
    <mergeCell ref="N7:O7"/>
  </mergeCells>
  <phoneticPr fontId="0" type="noConversion"/>
  <pageMargins left="0.74803149606299213" right="0.74803149606299213" top="0.98425196850393704" bottom="0.98425196850393704" header="0.51181102362204722" footer="0.51181102362204722"/>
  <pageSetup paperSize="9" scale="64" orientation="landscape" horizontalDpi="300" verticalDpi="300"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55"/>
  <sheetViews>
    <sheetView zoomScale="70" zoomScaleNormal="70" workbookViewId="0">
      <selection activeCell="B2" sqref="B2"/>
    </sheetView>
  </sheetViews>
  <sheetFormatPr defaultColWidth="8" defaultRowHeight="12.75" x14ac:dyDescent="0.2"/>
  <cols>
    <col min="1" max="1" width="32" style="6" customWidth="1"/>
    <col min="2" max="2" width="8.75" style="6" customWidth="1"/>
    <col min="3" max="3" width="11.125" style="6" bestFit="1" customWidth="1"/>
    <col min="4" max="4" width="10.25" style="6" customWidth="1"/>
    <col min="5" max="5" width="9.25" style="6" customWidth="1"/>
    <col min="6" max="6" width="10.75" style="6" customWidth="1"/>
    <col min="7" max="7" width="10" style="6" customWidth="1"/>
    <col min="8" max="8" width="10.75" style="6" customWidth="1"/>
    <col min="9" max="9" width="10.25" style="6" customWidth="1"/>
    <col min="10" max="10" width="10.75" style="6" customWidth="1"/>
    <col min="11" max="11" width="11.25" style="6" customWidth="1"/>
    <col min="12" max="12" width="8" style="6"/>
    <col min="13" max="13" width="15.75" style="6" customWidth="1"/>
    <col min="14" max="14" width="9.875" style="6" customWidth="1"/>
    <col min="15" max="15" width="13" style="6" customWidth="1"/>
    <col min="16" max="16" width="9.875" style="6" customWidth="1"/>
    <col min="17" max="17" width="12.75" style="6" customWidth="1"/>
    <col min="18" max="16384" width="8" style="6"/>
  </cols>
  <sheetData>
    <row r="1" spans="1:18" s="5" customFormat="1" ht="29.25" customHeight="1" x14ac:dyDescent="0.4">
      <c r="A1" s="115" t="s">
        <v>117</v>
      </c>
      <c r="B1" s="116"/>
      <c r="C1" s="6"/>
      <c r="D1" s="115"/>
      <c r="E1" s="6"/>
      <c r="F1" s="6"/>
      <c r="G1" s="6"/>
      <c r="H1" s="6"/>
      <c r="I1" s="6"/>
      <c r="J1" s="6"/>
      <c r="K1" s="6"/>
    </row>
    <row r="2" spans="1:18" s="5" customFormat="1" ht="30.75" customHeight="1" x14ac:dyDescent="0.4">
      <c r="A2" s="50" t="s">
        <v>118</v>
      </c>
      <c r="B2" s="116">
        <f>'Summary Calculations'!E37</f>
        <v>0</v>
      </c>
      <c r="C2" s="6"/>
      <c r="D2" s="115"/>
      <c r="E2" s="6"/>
      <c r="F2" s="6"/>
      <c r="G2" s="6"/>
      <c r="H2" s="6"/>
      <c r="I2" s="6"/>
      <c r="J2" s="6"/>
      <c r="K2" s="6"/>
    </row>
    <row r="3" spans="1:18" s="5" customFormat="1" ht="21" customHeight="1" thickBot="1" x14ac:dyDescent="0.3">
      <c r="A3" s="233" t="s">
        <v>60</v>
      </c>
      <c r="B3" s="233"/>
      <c r="C3" s="233"/>
      <c r="D3" s="233"/>
      <c r="E3" s="233"/>
      <c r="F3" s="233"/>
      <c r="G3" s="233"/>
      <c r="H3" s="233"/>
      <c r="I3" s="233"/>
    </row>
    <row r="4" spans="1:18" s="5" customFormat="1" ht="24" customHeight="1" thickBot="1" x14ac:dyDescent="0.3">
      <c r="A4" s="243" t="s">
        <v>188</v>
      </c>
      <c r="B4" s="244"/>
      <c r="C4" s="244"/>
      <c r="D4" s="244"/>
      <c r="E4" s="244"/>
      <c r="F4" s="244"/>
      <c r="G4" s="244"/>
      <c r="H4" s="244"/>
      <c r="I4" s="245"/>
      <c r="J4" s="117" t="e">
        <f>MAX(B18,B19,H18)</f>
        <v>#N/A</v>
      </c>
      <c r="K4" s="118" t="s">
        <v>61</v>
      </c>
    </row>
    <row r="5" spans="1:18" ht="13.5" thickBot="1" x14ac:dyDescent="0.25"/>
    <row r="6" spans="1:18" ht="21.75" customHeight="1" thickBot="1" x14ac:dyDescent="0.3">
      <c r="A6" s="240" t="s">
        <v>63</v>
      </c>
      <c r="B6" s="241"/>
      <c r="C6" s="241"/>
      <c r="D6" s="241"/>
      <c r="E6" s="241"/>
      <c r="F6" s="241"/>
      <c r="G6" s="241"/>
      <c r="H6" s="241"/>
      <c r="I6" s="241"/>
      <c r="J6" s="241"/>
      <c r="K6" s="242"/>
      <c r="M6" s="4" t="s">
        <v>169</v>
      </c>
    </row>
    <row r="7" spans="1:18" x14ac:dyDescent="0.2">
      <c r="A7" s="237" t="s">
        <v>64</v>
      </c>
      <c r="B7" s="238"/>
      <c r="C7" s="238"/>
      <c r="D7" s="239"/>
      <c r="E7" s="237" t="s">
        <v>65</v>
      </c>
      <c r="F7" s="238"/>
      <c r="G7" s="238"/>
      <c r="H7" s="238"/>
      <c r="I7" s="238"/>
      <c r="J7" s="238"/>
      <c r="K7" s="239"/>
      <c r="M7" s="269" t="s">
        <v>170</v>
      </c>
      <c r="N7" s="270"/>
      <c r="O7" s="271"/>
      <c r="P7" s="16" t="s">
        <v>88</v>
      </c>
      <c r="Q7" s="16" t="s">
        <v>91</v>
      </c>
      <c r="R7" s="16" t="s">
        <v>148</v>
      </c>
    </row>
    <row r="8" spans="1:18" ht="14.25" x14ac:dyDescent="0.2">
      <c r="A8" s="119" t="s">
        <v>66</v>
      </c>
      <c r="B8" s="120"/>
      <c r="C8" s="121">
        <f>'Water Balance'!C5</f>
        <v>0</v>
      </c>
      <c r="D8" s="122" t="s">
        <v>67</v>
      </c>
      <c r="E8" s="119" t="s">
        <v>68</v>
      </c>
      <c r="F8" s="123"/>
      <c r="G8" s="124" t="e">
        <f>'Summary Calculations'!F30</f>
        <v>#N/A</v>
      </c>
      <c r="H8" s="26" t="s">
        <v>69</v>
      </c>
      <c r="I8" s="26" t="s">
        <v>70</v>
      </c>
      <c r="J8" s="125" t="e">
        <f>G8/10000/365*1000000</f>
        <v>#N/A</v>
      </c>
      <c r="K8" s="122" t="s">
        <v>112</v>
      </c>
      <c r="M8" s="269" t="s">
        <v>171</v>
      </c>
      <c r="N8" s="270"/>
      <c r="O8" s="271"/>
      <c r="P8" s="17">
        <v>30</v>
      </c>
      <c r="Q8" s="17">
        <v>10</v>
      </c>
      <c r="R8" s="16" t="s">
        <v>72</v>
      </c>
    </row>
    <row r="9" spans="1:18" ht="14.25" x14ac:dyDescent="0.2">
      <c r="A9" s="126" t="s">
        <v>71</v>
      </c>
      <c r="B9" s="123"/>
      <c r="C9" s="124">
        <f>'Summary Calculations'!E25</f>
        <v>0</v>
      </c>
      <c r="D9" s="122" t="s">
        <v>72</v>
      </c>
      <c r="E9" s="127" t="s">
        <v>73</v>
      </c>
      <c r="F9" s="128"/>
      <c r="G9" s="124" t="e">
        <f>'Summary Calculations'!G30</f>
        <v>#N/A</v>
      </c>
      <c r="H9" s="26" t="s">
        <v>69</v>
      </c>
      <c r="I9" s="26" t="s">
        <v>70</v>
      </c>
      <c r="J9" s="125" t="e">
        <f>G9/10000/365*1000000</f>
        <v>#N/A</v>
      </c>
      <c r="K9" s="122" t="s">
        <v>112</v>
      </c>
      <c r="M9" s="269" t="s">
        <v>172</v>
      </c>
      <c r="N9" s="270"/>
      <c r="O9" s="271"/>
      <c r="P9" s="17">
        <v>18.11</v>
      </c>
      <c r="Q9" s="17">
        <v>1.33</v>
      </c>
      <c r="R9" s="16" t="s">
        <v>72</v>
      </c>
    </row>
    <row r="10" spans="1:18" x14ac:dyDescent="0.2">
      <c r="A10" s="246" t="s">
        <v>130</v>
      </c>
      <c r="B10" s="247"/>
      <c r="C10" s="18">
        <v>0.2</v>
      </c>
      <c r="D10" s="122" t="s">
        <v>74</v>
      </c>
      <c r="E10" s="234" t="s">
        <v>75</v>
      </c>
      <c r="F10" s="235"/>
      <c r="G10" s="235"/>
      <c r="H10" s="235"/>
      <c r="I10" s="235"/>
      <c r="J10" s="235"/>
      <c r="K10" s="236"/>
      <c r="M10" s="269" t="s">
        <v>173</v>
      </c>
      <c r="N10" s="270"/>
      <c r="O10" s="271"/>
      <c r="P10" s="17">
        <v>8.2899999999999991</v>
      </c>
      <c r="Q10" s="17">
        <v>0.24</v>
      </c>
      <c r="R10" s="16" t="s">
        <v>72</v>
      </c>
    </row>
    <row r="11" spans="1:18" x14ac:dyDescent="0.2">
      <c r="A11" s="246" t="s">
        <v>126</v>
      </c>
      <c r="B11" s="247"/>
      <c r="C11" s="129">
        <f>(C10*(C8*C9))</f>
        <v>0</v>
      </c>
      <c r="D11" s="122" t="s">
        <v>131</v>
      </c>
      <c r="E11" s="127" t="s">
        <v>76</v>
      </c>
      <c r="F11" s="128"/>
      <c r="G11" s="124" t="e">
        <f>'Summary Calculations'!I16</f>
        <v>#N/A</v>
      </c>
      <c r="H11" s="26" t="s">
        <v>77</v>
      </c>
      <c r="I11" s="26" t="s">
        <v>70</v>
      </c>
      <c r="J11" s="130" t="e">
        <f>B29*10000</f>
        <v>#N/A</v>
      </c>
      <c r="K11" s="122" t="s">
        <v>78</v>
      </c>
      <c r="M11" s="269" t="s">
        <v>174</v>
      </c>
      <c r="N11" s="270"/>
      <c r="O11" s="271"/>
      <c r="P11" s="17">
        <v>20</v>
      </c>
      <c r="Q11" s="17">
        <v>10</v>
      </c>
      <c r="R11" s="16" t="s">
        <v>72</v>
      </c>
    </row>
    <row r="12" spans="1:18" ht="14.25" x14ac:dyDescent="0.2">
      <c r="A12" s="246" t="s">
        <v>129</v>
      </c>
      <c r="B12" s="247"/>
      <c r="C12" s="129">
        <f>(C8*C9)-C11</f>
        <v>0</v>
      </c>
      <c r="D12" s="122" t="s">
        <v>131</v>
      </c>
      <c r="E12" s="127" t="s">
        <v>79</v>
      </c>
      <c r="F12" s="131"/>
      <c r="G12" s="124" t="e">
        <f>'Summary Calculations'!H16</f>
        <v>#N/A</v>
      </c>
      <c r="H12" s="132" t="s">
        <v>185</v>
      </c>
      <c r="I12" s="133"/>
      <c r="J12" s="134"/>
      <c r="K12" s="135"/>
      <c r="M12" s="269"/>
      <c r="N12" s="270"/>
      <c r="O12" s="271"/>
      <c r="P12" s="17"/>
      <c r="Q12" s="17"/>
      <c r="R12" s="16"/>
    </row>
    <row r="13" spans="1:18" x14ac:dyDescent="0.2">
      <c r="A13" s="136" t="s">
        <v>80</v>
      </c>
      <c r="B13" s="128"/>
      <c r="C13" s="124">
        <f>'Summary Calculations'!E26</f>
        <v>0</v>
      </c>
      <c r="D13" s="122" t="s">
        <v>72</v>
      </c>
      <c r="E13" s="263" t="s">
        <v>81</v>
      </c>
      <c r="F13" s="264"/>
      <c r="G13" s="137">
        <v>0.5</v>
      </c>
      <c r="H13" s="29" t="s">
        <v>82</v>
      </c>
      <c r="I13" s="138"/>
      <c r="K13" s="139"/>
      <c r="M13" s="269"/>
      <c r="N13" s="270"/>
      <c r="O13" s="271"/>
      <c r="P13" s="17"/>
      <c r="Q13" s="17"/>
      <c r="R13" s="16"/>
    </row>
    <row r="14" spans="1:18" ht="18" customHeight="1" thickBot="1" x14ac:dyDescent="0.3">
      <c r="A14" s="140" t="s">
        <v>83</v>
      </c>
      <c r="B14" s="141"/>
      <c r="C14" s="19">
        <f>'Summary Calculations'!E27</f>
        <v>0</v>
      </c>
      <c r="D14" s="142" t="s">
        <v>84</v>
      </c>
      <c r="E14" s="261" t="s">
        <v>168</v>
      </c>
      <c r="F14" s="262"/>
      <c r="G14" s="20">
        <v>0.5</v>
      </c>
      <c r="H14" s="143" t="s">
        <v>74</v>
      </c>
      <c r="I14" s="144"/>
      <c r="J14" s="145"/>
      <c r="K14" s="146"/>
      <c r="M14" s="269"/>
      <c r="N14" s="270"/>
      <c r="O14" s="271"/>
      <c r="P14" s="17"/>
      <c r="Q14" s="17"/>
      <c r="R14" s="16"/>
    </row>
    <row r="15" spans="1:18" ht="24" customHeight="1" thickBot="1" x14ac:dyDescent="0.25">
      <c r="H15" s="147"/>
    </row>
    <row r="16" spans="1:18" ht="19.5" customHeight="1" x14ac:dyDescent="0.25">
      <c r="A16" s="258" t="s">
        <v>85</v>
      </c>
      <c r="B16" s="259"/>
      <c r="C16" s="259"/>
      <c r="D16" s="259"/>
      <c r="E16" s="259"/>
      <c r="F16" s="259"/>
      <c r="G16" s="259"/>
      <c r="H16" s="259"/>
      <c r="I16" s="259"/>
      <c r="J16" s="259"/>
      <c r="K16" s="260"/>
      <c r="M16" s="4" t="s">
        <v>175</v>
      </c>
    </row>
    <row r="17" spans="1:20" ht="13.5" customHeight="1" x14ac:dyDescent="0.25">
      <c r="A17" s="148" t="s">
        <v>86</v>
      </c>
      <c r="B17" s="149"/>
      <c r="C17" s="150"/>
      <c r="D17" s="265" t="s">
        <v>87</v>
      </c>
      <c r="E17" s="266"/>
      <c r="F17" s="266"/>
      <c r="G17" s="266"/>
      <c r="H17" s="266"/>
      <c r="I17" s="266"/>
      <c r="J17" s="267"/>
      <c r="K17" s="268"/>
      <c r="M17" s="21" t="s">
        <v>176</v>
      </c>
      <c r="N17" s="22" t="s">
        <v>201</v>
      </c>
      <c r="O17" s="22" t="s">
        <v>202</v>
      </c>
      <c r="P17" s="23" t="s">
        <v>88</v>
      </c>
      <c r="Q17" s="23" t="s">
        <v>91</v>
      </c>
      <c r="R17" s="24" t="s">
        <v>148</v>
      </c>
    </row>
    <row r="18" spans="1:20" ht="14.25" x14ac:dyDescent="0.2">
      <c r="A18" s="151" t="s">
        <v>88</v>
      </c>
      <c r="B18" s="152" t="e">
        <f>C12/J8</f>
        <v>#N/A</v>
      </c>
      <c r="C18" s="26" t="s">
        <v>89</v>
      </c>
      <c r="D18" s="251" t="s">
        <v>90</v>
      </c>
      <c r="E18" s="252"/>
      <c r="F18" s="252"/>
      <c r="G18" s="253"/>
      <c r="H18" s="153" t="e">
        <f>'Water Balance'!J34</f>
        <v>#N/A</v>
      </c>
      <c r="I18" s="22" t="s">
        <v>89</v>
      </c>
      <c r="J18" s="138"/>
      <c r="K18" s="139"/>
      <c r="M18" s="25" t="s">
        <v>177</v>
      </c>
      <c r="N18" s="26"/>
      <c r="O18" s="26"/>
      <c r="P18" s="17">
        <v>260</v>
      </c>
      <c r="Q18" s="17">
        <v>25</v>
      </c>
      <c r="R18" s="27" t="s">
        <v>69</v>
      </c>
      <c r="T18" s="6" t="str" cm="1">
        <f t="array" ref="T18:T21">Veg[Vegetation type]</f>
        <v>Kikuyu</v>
      </c>
    </row>
    <row r="19" spans="1:20" ht="14.25" x14ac:dyDescent="0.2">
      <c r="A19" s="151" t="s">
        <v>91</v>
      </c>
      <c r="B19" s="152" t="e">
        <f>I27/(I30+I28)</f>
        <v>#N/A</v>
      </c>
      <c r="C19" s="26" t="s">
        <v>89</v>
      </c>
      <c r="D19" s="251" t="s">
        <v>92</v>
      </c>
      <c r="E19" s="252"/>
      <c r="F19" s="252"/>
      <c r="G19" s="252"/>
      <c r="H19" s="154" t="e">
        <f>(((C12*365)/1000000)-((J8*H18*365)/1000000))</f>
        <v>#N/A</v>
      </c>
      <c r="I19" s="26" t="s">
        <v>93</v>
      </c>
      <c r="J19" s="138"/>
      <c r="K19" s="139"/>
      <c r="M19" s="25" t="s">
        <v>184</v>
      </c>
      <c r="N19" s="26"/>
      <c r="O19" s="26"/>
      <c r="P19" s="17">
        <v>200</v>
      </c>
      <c r="Q19" s="17">
        <v>20</v>
      </c>
      <c r="R19" s="27" t="s">
        <v>69</v>
      </c>
      <c r="T19" s="6" t="str">
        <v>Significant natural vegetation</v>
      </c>
    </row>
    <row r="20" spans="1:20" x14ac:dyDescent="0.2">
      <c r="A20" s="155"/>
      <c r="B20" s="134"/>
      <c r="D20" s="251" t="s">
        <v>94</v>
      </c>
      <c r="E20" s="252"/>
      <c r="F20" s="252"/>
      <c r="G20" s="253"/>
      <c r="H20" s="154" t="e">
        <f>((I27-((I28+I30)*H18))/C14)</f>
        <v>#N/A</v>
      </c>
      <c r="I20" s="26" t="s">
        <v>93</v>
      </c>
      <c r="J20" s="138"/>
      <c r="K20" s="139"/>
      <c r="M20" s="25" t="s">
        <v>178</v>
      </c>
      <c r="N20" s="26"/>
      <c r="O20" s="26"/>
      <c r="P20" s="17">
        <v>200</v>
      </c>
      <c r="Q20" s="17">
        <v>20</v>
      </c>
      <c r="R20" s="27" t="s">
        <v>69</v>
      </c>
      <c r="T20" s="6" t="str">
        <v>Coastal rainforest</v>
      </c>
    </row>
    <row r="21" spans="1:20" x14ac:dyDescent="0.2">
      <c r="A21" s="156"/>
      <c r="D21" s="251" t="s">
        <v>95</v>
      </c>
      <c r="E21" s="252"/>
      <c r="F21" s="252"/>
      <c r="G21" s="253"/>
      <c r="H21" s="157" t="e">
        <f>B31/B33</f>
        <v>#N/A</v>
      </c>
      <c r="I21" s="29" t="s">
        <v>96</v>
      </c>
      <c r="J21" s="138"/>
      <c r="K21" s="139"/>
      <c r="M21" s="28" t="s">
        <v>179</v>
      </c>
      <c r="N21" s="29"/>
      <c r="O21" s="29"/>
      <c r="P21" s="30">
        <v>200</v>
      </c>
      <c r="Q21" s="30">
        <v>20</v>
      </c>
      <c r="R21" s="31" t="s">
        <v>69</v>
      </c>
      <c r="T21" s="6" t="str">
        <v>Kentia palm plantation</v>
      </c>
    </row>
    <row r="22" spans="1:20" ht="15" thickBot="1" x14ac:dyDescent="0.25">
      <c r="A22" s="158"/>
      <c r="B22" s="145"/>
      <c r="C22" s="145"/>
      <c r="D22" s="254" t="s">
        <v>97</v>
      </c>
      <c r="E22" s="255"/>
      <c r="F22" s="255"/>
      <c r="G22" s="256"/>
      <c r="H22" s="159" t="e">
        <f>IF(MAX((B19-H18),(B18-H18))&gt;0,MAX((B19-H18),(B18-H18)),0)</f>
        <v>#N/A</v>
      </c>
      <c r="I22" s="143" t="s">
        <v>89</v>
      </c>
      <c r="J22" s="144"/>
      <c r="K22" s="146"/>
      <c r="M22" s="272"/>
      <c r="N22" s="272"/>
      <c r="O22" s="272"/>
      <c r="P22" s="17"/>
      <c r="Q22" s="17"/>
      <c r="R22" s="16"/>
    </row>
    <row r="23" spans="1:20" x14ac:dyDescent="0.2">
      <c r="A23" s="156"/>
      <c r="K23" s="139"/>
      <c r="M23" s="272"/>
      <c r="N23" s="272"/>
      <c r="O23" s="272"/>
      <c r="P23" s="17"/>
      <c r="Q23" s="17"/>
      <c r="R23" s="16"/>
    </row>
    <row r="24" spans="1:20" ht="24.75" customHeight="1" x14ac:dyDescent="0.25">
      <c r="A24" s="160" t="s">
        <v>100</v>
      </c>
      <c r="K24" s="139"/>
      <c r="M24" s="252"/>
      <c r="N24" s="252"/>
      <c r="O24" s="252"/>
      <c r="P24" s="147"/>
      <c r="Q24" s="147"/>
      <c r="R24" s="161"/>
    </row>
    <row r="25" spans="1:20" ht="18" customHeight="1" x14ac:dyDescent="0.25">
      <c r="A25" s="160" t="s">
        <v>98</v>
      </c>
      <c r="K25" s="139"/>
      <c r="M25" s="4" t="s">
        <v>183</v>
      </c>
    </row>
    <row r="26" spans="1:20" ht="16.5" customHeight="1" x14ac:dyDescent="0.2">
      <c r="A26" s="156" t="s">
        <v>90</v>
      </c>
      <c r="B26" s="162" t="e">
        <f>H18</f>
        <v>#N/A</v>
      </c>
      <c r="C26" s="6" t="s">
        <v>89</v>
      </c>
      <c r="K26" s="139"/>
      <c r="M26" s="32" t="s">
        <v>145</v>
      </c>
      <c r="N26" s="33" t="s">
        <v>201</v>
      </c>
      <c r="O26" s="34" t="s">
        <v>180</v>
      </c>
      <c r="P26" s="35" t="s">
        <v>202</v>
      </c>
      <c r="Q26" s="34" t="s">
        <v>148</v>
      </c>
    </row>
    <row r="27" spans="1:20" x14ac:dyDescent="0.2">
      <c r="A27" s="163" t="s">
        <v>101</v>
      </c>
      <c r="B27" s="147">
        <f>C8*C13/1000000</f>
        <v>0</v>
      </c>
      <c r="C27" s="6" t="s">
        <v>102</v>
      </c>
      <c r="E27" s="252" t="s">
        <v>103</v>
      </c>
      <c r="F27" s="252"/>
      <c r="G27" s="252"/>
      <c r="H27" s="252"/>
      <c r="I27" s="147">
        <f>B27*365*C14</f>
        <v>0</v>
      </c>
      <c r="J27" s="6" t="s">
        <v>99</v>
      </c>
      <c r="K27" s="139"/>
      <c r="M27" s="36" t="s">
        <v>146</v>
      </c>
      <c r="N27" s="37"/>
      <c r="O27" s="38">
        <v>170</v>
      </c>
      <c r="P27" s="39"/>
      <c r="Q27" s="40" t="s">
        <v>77</v>
      </c>
    </row>
    <row r="28" spans="1:20" ht="14.25" x14ac:dyDescent="0.2">
      <c r="A28" s="163" t="s">
        <v>104</v>
      </c>
      <c r="B28" s="147" t="e">
        <f>J9*B26/1000000</f>
        <v>#N/A</v>
      </c>
      <c r="C28" s="6" t="s">
        <v>102</v>
      </c>
      <c r="E28" s="252" t="s">
        <v>105</v>
      </c>
      <c r="F28" s="252"/>
      <c r="G28" s="252"/>
      <c r="H28" s="252"/>
      <c r="I28" s="164" t="e">
        <f>J9*365*C14/1000000</f>
        <v>#N/A</v>
      </c>
      <c r="J28" s="6" t="s">
        <v>106</v>
      </c>
      <c r="K28" s="139"/>
      <c r="M28" s="36" t="s">
        <v>181</v>
      </c>
      <c r="N28" s="37"/>
      <c r="O28" s="38">
        <v>400</v>
      </c>
      <c r="P28" s="39"/>
      <c r="Q28" s="40" t="s">
        <v>77</v>
      </c>
    </row>
    <row r="29" spans="1:20" ht="14.25" x14ac:dyDescent="0.2">
      <c r="A29" s="163" t="s">
        <v>107</v>
      </c>
      <c r="B29" s="147" t="e">
        <f>(G11/1000000)*(G12*1000)*G13</f>
        <v>#N/A</v>
      </c>
      <c r="C29" s="6" t="s">
        <v>106</v>
      </c>
      <c r="I29" s="147"/>
      <c r="K29" s="139"/>
      <c r="M29" s="41" t="s">
        <v>182</v>
      </c>
      <c r="N29" s="42"/>
      <c r="O29" s="43">
        <v>700</v>
      </c>
      <c r="P29" s="44"/>
      <c r="Q29" s="45" t="s">
        <v>77</v>
      </c>
    </row>
    <row r="30" spans="1:20" ht="14.25" x14ac:dyDescent="0.2">
      <c r="A30" s="163" t="s">
        <v>108</v>
      </c>
      <c r="B30" s="164" t="e">
        <f>B29*G14</f>
        <v>#N/A</v>
      </c>
      <c r="C30" s="6" t="s">
        <v>106</v>
      </c>
      <c r="E30" s="252" t="s">
        <v>109</v>
      </c>
      <c r="F30" s="252"/>
      <c r="G30" s="252"/>
      <c r="H30" s="252"/>
      <c r="I30" s="164" t="e">
        <f>B30</f>
        <v>#N/A</v>
      </c>
      <c r="J30" s="6" t="s">
        <v>106</v>
      </c>
      <c r="K30" s="139"/>
      <c r="M30" s="165" t="s">
        <v>196</v>
      </c>
    </row>
    <row r="31" spans="1:20" x14ac:dyDescent="0.2">
      <c r="A31" s="163" t="s">
        <v>110</v>
      </c>
      <c r="B31" s="166" t="e">
        <f>B30*B26</f>
        <v>#N/A</v>
      </c>
      <c r="C31" s="6" t="s">
        <v>99</v>
      </c>
      <c r="E31" s="165" t="s">
        <v>111</v>
      </c>
      <c r="I31" s="164" t="e">
        <f>(B31/C14)+(B28*365)</f>
        <v>#N/A</v>
      </c>
      <c r="J31" s="6" t="s">
        <v>93</v>
      </c>
      <c r="K31" s="139"/>
    </row>
    <row r="32" spans="1:20" x14ac:dyDescent="0.2">
      <c r="A32" s="163"/>
      <c r="B32" s="166"/>
      <c r="E32" s="165"/>
      <c r="H32" s="6" t="s">
        <v>70</v>
      </c>
      <c r="I32" s="167" t="e">
        <f>I31/365</f>
        <v>#N/A</v>
      </c>
      <c r="J32" s="6" t="s">
        <v>102</v>
      </c>
      <c r="K32" s="139"/>
      <c r="M32" s="168" t="s">
        <v>186</v>
      </c>
    </row>
    <row r="33" spans="1:17" x14ac:dyDescent="0.2">
      <c r="A33" s="163" t="s">
        <v>127</v>
      </c>
      <c r="B33" s="166" t="e">
        <f>(B27-B28)*365</f>
        <v>#N/A</v>
      </c>
      <c r="C33" s="6" t="s">
        <v>93</v>
      </c>
      <c r="E33" s="165"/>
      <c r="I33" s="167"/>
      <c r="K33" s="139"/>
      <c r="M33" s="32" t="s">
        <v>145</v>
      </c>
      <c r="N33" s="33" t="s">
        <v>201</v>
      </c>
      <c r="O33" s="34" t="s">
        <v>79</v>
      </c>
      <c r="P33" s="35" t="s">
        <v>202</v>
      </c>
      <c r="Q33" s="34" t="s">
        <v>148</v>
      </c>
    </row>
    <row r="34" spans="1:17" ht="15.75" customHeight="1" thickBot="1" x14ac:dyDescent="0.25">
      <c r="A34" s="158"/>
      <c r="B34" s="145"/>
      <c r="C34" s="145"/>
      <c r="D34" s="145"/>
      <c r="E34" s="145"/>
      <c r="F34" s="145"/>
      <c r="G34" s="145"/>
      <c r="H34" s="145"/>
      <c r="I34" s="145"/>
      <c r="J34" s="145"/>
      <c r="K34" s="146"/>
      <c r="M34" s="36" t="s">
        <v>146</v>
      </c>
      <c r="N34" s="37"/>
      <c r="O34" s="46">
        <v>1.8</v>
      </c>
      <c r="P34" s="47"/>
      <c r="Q34" s="40" t="s">
        <v>185</v>
      </c>
    </row>
    <row r="35" spans="1:17" ht="17.25" customHeight="1" x14ac:dyDescent="0.2">
      <c r="M35" s="36" t="s">
        <v>181</v>
      </c>
      <c r="N35" s="37"/>
      <c r="O35" s="46">
        <v>1.6</v>
      </c>
      <c r="P35" s="47"/>
      <c r="Q35" s="40" t="s">
        <v>185</v>
      </c>
    </row>
    <row r="36" spans="1:17" ht="17.25" customHeight="1" x14ac:dyDescent="0.2">
      <c r="M36" s="41" t="s">
        <v>182</v>
      </c>
      <c r="N36" s="42"/>
      <c r="O36" s="48">
        <v>1.4</v>
      </c>
      <c r="P36" s="49"/>
      <c r="Q36" s="45" t="s">
        <v>185</v>
      </c>
    </row>
    <row r="37" spans="1:17" x14ac:dyDescent="0.2">
      <c r="A37" s="168" t="s">
        <v>62</v>
      </c>
    </row>
    <row r="38" spans="1:17" ht="12.75" customHeight="1" x14ac:dyDescent="0.2">
      <c r="A38" s="257" t="s">
        <v>142</v>
      </c>
      <c r="B38" s="257"/>
      <c r="C38" s="257"/>
      <c r="D38" s="257"/>
      <c r="E38" s="257"/>
      <c r="F38" s="257"/>
      <c r="G38" s="257"/>
      <c r="H38" s="257"/>
      <c r="I38" s="257"/>
    </row>
    <row r="39" spans="1:17" x14ac:dyDescent="0.2">
      <c r="A39" s="257"/>
      <c r="B39" s="257"/>
      <c r="C39" s="257"/>
      <c r="D39" s="257"/>
      <c r="E39" s="257"/>
      <c r="F39" s="257"/>
      <c r="G39" s="257"/>
      <c r="H39" s="257"/>
      <c r="I39" s="257"/>
    </row>
    <row r="40" spans="1:17" x14ac:dyDescent="0.2">
      <c r="A40" s="257"/>
      <c r="B40" s="257"/>
      <c r="C40" s="257"/>
      <c r="D40" s="257"/>
      <c r="E40" s="257"/>
      <c r="F40" s="257"/>
      <c r="G40" s="257"/>
      <c r="H40" s="257"/>
      <c r="I40" s="257"/>
    </row>
    <row r="41" spans="1:17" x14ac:dyDescent="0.2">
      <c r="A41" s="257"/>
      <c r="B41" s="257"/>
      <c r="C41" s="257"/>
      <c r="D41" s="257"/>
      <c r="E41" s="257"/>
      <c r="F41" s="257"/>
      <c r="G41" s="257"/>
      <c r="H41" s="257"/>
      <c r="I41" s="257"/>
    </row>
    <row r="42" spans="1:17" x14ac:dyDescent="0.2">
      <c r="A42" s="257"/>
      <c r="B42" s="257"/>
      <c r="C42" s="257"/>
      <c r="D42" s="257"/>
      <c r="E42" s="257"/>
      <c r="F42" s="257"/>
      <c r="G42" s="257"/>
      <c r="H42" s="257"/>
      <c r="I42" s="257"/>
    </row>
    <row r="43" spans="1:17" x14ac:dyDescent="0.2">
      <c r="A43" s="257"/>
      <c r="B43" s="257"/>
      <c r="C43" s="257"/>
      <c r="D43" s="257"/>
      <c r="E43" s="257"/>
      <c r="F43" s="257"/>
      <c r="G43" s="257"/>
      <c r="H43" s="257"/>
      <c r="I43" s="257"/>
    </row>
    <row r="44" spans="1:17" x14ac:dyDescent="0.2">
      <c r="A44" s="257"/>
      <c r="B44" s="257"/>
      <c r="C44" s="257"/>
      <c r="D44" s="257"/>
      <c r="E44" s="257"/>
      <c r="F44" s="257"/>
      <c r="G44" s="257"/>
      <c r="H44" s="257"/>
      <c r="I44" s="257"/>
    </row>
    <row r="45" spans="1:17" x14ac:dyDescent="0.2">
      <c r="A45" s="257"/>
      <c r="B45" s="257"/>
      <c r="C45" s="257"/>
      <c r="D45" s="257"/>
      <c r="E45" s="257"/>
      <c r="F45" s="257"/>
      <c r="G45" s="257"/>
      <c r="H45" s="257"/>
      <c r="I45" s="257"/>
    </row>
    <row r="46" spans="1:17" ht="15" customHeight="1" x14ac:dyDescent="0.2">
      <c r="A46" s="248" t="s">
        <v>140</v>
      </c>
      <c r="B46" s="249"/>
      <c r="C46" s="249"/>
      <c r="D46" s="249"/>
      <c r="E46" s="249"/>
      <c r="F46" s="249"/>
      <c r="G46" s="249"/>
      <c r="H46" s="249"/>
      <c r="I46" s="249"/>
    </row>
    <row r="47" spans="1:17" ht="12.75" customHeight="1" x14ac:dyDescent="0.2">
      <c r="A47" s="250" t="s">
        <v>141</v>
      </c>
      <c r="B47" s="250"/>
      <c r="C47" s="250"/>
      <c r="D47" s="250"/>
      <c r="E47" s="250"/>
      <c r="F47" s="250"/>
      <c r="G47" s="250"/>
      <c r="H47" s="250"/>
      <c r="I47" s="250"/>
    </row>
    <row r="48" spans="1:17" x14ac:dyDescent="0.2">
      <c r="A48" s="250"/>
      <c r="B48" s="250"/>
      <c r="C48" s="250"/>
      <c r="D48" s="250"/>
      <c r="E48" s="250"/>
      <c r="F48" s="250"/>
      <c r="G48" s="250"/>
      <c r="H48" s="250"/>
      <c r="I48" s="250"/>
    </row>
    <row r="50" spans="1:14" ht="15" x14ac:dyDescent="0.2">
      <c r="A50" s="2" t="s">
        <v>189</v>
      </c>
    </row>
    <row r="51" spans="1:14" ht="15" x14ac:dyDescent="0.2">
      <c r="A51" s="2" t="s">
        <v>195</v>
      </c>
    </row>
    <row r="52" spans="1:14" ht="15" x14ac:dyDescent="0.2">
      <c r="A52" s="2" t="s">
        <v>190</v>
      </c>
    </row>
    <row r="53" spans="1:14" ht="15" x14ac:dyDescent="0.2">
      <c r="A53" s="2" t="s">
        <v>191</v>
      </c>
    </row>
    <row r="54" spans="1:14" ht="28.5" customHeight="1" x14ac:dyDescent="0.2">
      <c r="A54" s="219" t="s">
        <v>192</v>
      </c>
      <c r="B54" s="219"/>
      <c r="C54" s="219"/>
      <c r="D54" s="219"/>
      <c r="E54" s="219"/>
      <c r="F54" s="219"/>
      <c r="G54" s="219"/>
      <c r="H54" s="219"/>
      <c r="I54" s="219"/>
      <c r="J54" s="219"/>
      <c r="K54" s="219"/>
      <c r="L54" s="219"/>
      <c r="M54" s="219"/>
      <c r="N54" s="219"/>
    </row>
    <row r="55" spans="1:14" ht="15" x14ac:dyDescent="0.2">
      <c r="A55" s="2" t="s">
        <v>193</v>
      </c>
    </row>
  </sheetData>
  <sheetProtection algorithmName="SHA-512" hashValue="Gwu4oiU0st8Vc0VqcvHnuKUOgE+zN1rbGpJZZYRm09SNqt9r+vysBu4BWxikbF7yWyh+qfiUHyiJ/3WHLUEc+Q==" saltValue="gNvy4pW+5s56GzzLz8h5lw==" spinCount="100000" sheet="1" objects="1" scenarios="1"/>
  <mergeCells count="36">
    <mergeCell ref="M13:O13"/>
    <mergeCell ref="M14:O14"/>
    <mergeCell ref="M23:O23"/>
    <mergeCell ref="M24:O24"/>
    <mergeCell ref="M7:O7"/>
    <mergeCell ref="M8:O8"/>
    <mergeCell ref="M9:O9"/>
    <mergeCell ref="M10:O10"/>
    <mergeCell ref="M22:O22"/>
    <mergeCell ref="M11:O11"/>
    <mergeCell ref="M12:O12"/>
    <mergeCell ref="A38:I45"/>
    <mergeCell ref="A11:B11"/>
    <mergeCell ref="A12:B12"/>
    <mergeCell ref="A16:K16"/>
    <mergeCell ref="D19:G19"/>
    <mergeCell ref="E14:F14"/>
    <mergeCell ref="E13:F13"/>
    <mergeCell ref="D17:K17"/>
    <mergeCell ref="D18:G18"/>
    <mergeCell ref="A54:N54"/>
    <mergeCell ref="A3:I3"/>
    <mergeCell ref="E10:K10"/>
    <mergeCell ref="A7:D7"/>
    <mergeCell ref="E7:K7"/>
    <mergeCell ref="A6:K6"/>
    <mergeCell ref="A4:I4"/>
    <mergeCell ref="A10:B10"/>
    <mergeCell ref="A46:I46"/>
    <mergeCell ref="A47:I48"/>
    <mergeCell ref="D20:G20"/>
    <mergeCell ref="E27:H27"/>
    <mergeCell ref="E28:H28"/>
    <mergeCell ref="E30:H30"/>
    <mergeCell ref="D22:G22"/>
    <mergeCell ref="D21:G21"/>
  </mergeCells>
  <phoneticPr fontId="15" type="noConversion"/>
  <pageMargins left="0.47244094488188981" right="0.47244094488188981" top="0.47244094488188981" bottom="0.47244094488188981" header="0" footer="0"/>
  <pageSetup paperSize="9" scale="64" fitToHeight="0" orientation="portrait" horizontalDpi="300" verticalDpi="300" r:id="rId1"/>
  <headerFooter alignWithMargins="0"/>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43B9-DD97-4563-9262-6798DEB7AF0E}">
  <dimension ref="A1:B3"/>
  <sheetViews>
    <sheetView workbookViewId="0">
      <selection activeCell="B2" sqref="B2"/>
    </sheetView>
  </sheetViews>
  <sheetFormatPr defaultRowHeight="15.75" x14ac:dyDescent="0.25"/>
  <sheetData>
    <row r="1" spans="1:2" x14ac:dyDescent="0.25">
      <c r="A1">
        <f>'Summary Calculations'!E7</f>
        <v>0</v>
      </c>
      <c r="B1" t="s">
        <v>198</v>
      </c>
    </row>
    <row r="2" spans="1:2" x14ac:dyDescent="0.25">
      <c r="A2">
        <v>150</v>
      </c>
      <c r="B2" t="s">
        <v>199</v>
      </c>
    </row>
    <row r="3" spans="1:2" x14ac:dyDescent="0.25">
      <c r="A3">
        <f>A1*A2</f>
        <v>0</v>
      </c>
      <c r="B3" t="s">
        <v>200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0DEA19DFFA5440840FB4ED02869A7F" ma:contentTypeVersion="14" ma:contentTypeDescription="Create a new document." ma:contentTypeScope="" ma:versionID="9e906123212215d93cdf7fa02c171705">
  <xsd:schema xmlns:xsd="http://www.w3.org/2001/XMLSchema" xmlns:xs="http://www.w3.org/2001/XMLSchema" xmlns:p="http://schemas.microsoft.com/office/2006/metadata/properties" xmlns:ns2="af7586c3-3852-4f74-b962-687767a32e74" xmlns:ns3="362e44f8-346d-4649-90ee-f10e4e9978c2" targetNamespace="http://schemas.microsoft.com/office/2006/metadata/properties" ma:root="true" ma:fieldsID="4004eca06023e5d6680121ae25a07d1c" ns2:_="" ns3:_="">
    <xsd:import namespace="af7586c3-3852-4f74-b962-687767a32e74"/>
    <xsd:import namespace="362e44f8-346d-4649-90ee-f10e4e9978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586c3-3852-4f74-b962-687767a32e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83811d-6e7a-423d-9c25-b25645f648d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2e44f8-346d-4649-90ee-f10e4e9978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5ed0832-65eb-4601-841f-2eb1492fea64}" ma:internalName="TaxCatchAll" ma:showField="CatchAllData" ma:web="362e44f8-346d-4649-90ee-f10e4e9978c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62e44f8-346d-4649-90ee-f10e4e9978c2" xsi:nil="true"/>
    <lcf76f155ced4ddcb4097134ff3c332f xmlns="af7586c3-3852-4f74-b962-687767a32e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F5EF4F-2A7A-4F31-B664-8BE916870397}">
  <ds:schemaRefs>
    <ds:schemaRef ds:uri="http://schemas.microsoft.com/sharepoint/v3/contenttype/forms"/>
  </ds:schemaRefs>
</ds:datastoreItem>
</file>

<file path=customXml/itemProps2.xml><?xml version="1.0" encoding="utf-8"?>
<ds:datastoreItem xmlns:ds="http://schemas.openxmlformats.org/officeDocument/2006/customXml" ds:itemID="{38555760-9DA5-4915-8047-9E92549B9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586c3-3852-4f74-b962-687767a32e74"/>
    <ds:schemaRef ds:uri="362e44f8-346d-4649-90ee-f10e4e997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CBC539-64B5-4B80-9D28-74109EE8C3FF}">
  <ds:schemaRefs>
    <ds:schemaRef ds:uri="http://schemas.microsoft.com/office/2006/metadata/properties"/>
    <ds:schemaRef ds:uri="http://schemas.microsoft.com/office/infopath/2007/PartnerControls"/>
    <ds:schemaRef ds:uri="362e44f8-346d-4649-90ee-f10e4e9978c2"/>
    <ds:schemaRef ds:uri="af7586c3-3852-4f74-b962-687767a32e74"/>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 Calculations</vt:lpstr>
      <vt:lpstr>Water Balance</vt:lpstr>
      <vt:lpstr>Nutrient Balance</vt:lpstr>
      <vt:lpstr>Sheet2</vt:lpstr>
      <vt:lpstr>'Nutrient Balance'!Print_Area</vt:lpstr>
      <vt:lpstr>'Water Balance'!Print_Area</vt:lpstr>
      <vt:lpstr>Soilddown</vt:lpstr>
    </vt:vector>
  </TitlesOfParts>
  <Company>Whitehead &amp;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Whitehead</dc:creator>
  <cp:lastModifiedBy>Samantha Chambers-Skeggs</cp:lastModifiedBy>
  <cp:lastPrinted>2023-08-18T00:54:17Z</cp:lastPrinted>
  <dcterms:created xsi:type="dcterms:W3CDTF">2000-08-28T01:48:05Z</dcterms:created>
  <dcterms:modified xsi:type="dcterms:W3CDTF">2024-11-11T02:23:15Z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0x010100FD0DEA19DFFA5440840FB4ED02869A7F</vt:lpwstr>
  </property>
</Properties>
</file>